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chael\Downloads\"/>
    </mc:Choice>
  </mc:AlternateContent>
  <xr:revisionPtr revIDLastSave="0" documentId="8_{346E3535-043B-4C95-968B-1CD9A44C2302}" xr6:coauthVersionLast="47" xr6:coauthVersionMax="47" xr10:uidLastSave="{00000000-0000-0000-0000-000000000000}"/>
  <workbookProtection workbookAlgorithmName="SHA-512" workbookHashValue="OYHKnzUHO0aO2aFnyFFAEm2g3JFXnmAM9d2Ha8Zf9B7XQ1JjROPbHGk1k3qk8cfu5JwutZQD4XewKIS2tv328A==" workbookSaltValue="K6vPMV7wAY7u1o50uYaS1A==" workbookSpinCount="100000" lockStructure="1"/>
  <bookViews>
    <workbookView xWindow="3855" yWindow="3855" windowWidth="38700" windowHeight="15435" xr2:uid="{6F420FF4-A079-42B2-ACD5-CB1A4D23D0F4}"/>
  </bookViews>
  <sheets>
    <sheet name="Input" sheetId="1" r:id="rId1"/>
    <sheet name="BE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" l="1"/>
  <c r="C47" i="2"/>
  <c r="C46" i="2"/>
  <c r="C45" i="2"/>
  <c r="D45" i="2" s="1"/>
  <c r="C44" i="2"/>
  <c r="C43" i="2"/>
  <c r="C42" i="2"/>
  <c r="C41" i="2"/>
  <c r="D41" i="2" s="1"/>
  <c r="C40" i="2"/>
  <c r="C39" i="2"/>
  <c r="C38" i="2"/>
  <c r="C37" i="2"/>
  <c r="D37" i="2" s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G21" i="2"/>
  <c r="F21" i="2" s="1"/>
  <c r="N23" i="2"/>
  <c r="N24" i="2"/>
  <c r="N25" i="2"/>
  <c r="N26" i="2"/>
  <c r="N27" i="2"/>
  <c r="N28" i="2"/>
  <c r="N29" i="2"/>
  <c r="N35" i="2"/>
  <c r="N22" i="2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L4" i="1"/>
  <c r="M4" i="1" s="1"/>
  <c r="C3" i="2"/>
  <c r="C1" i="2"/>
  <c r="C2" i="2" s="1"/>
  <c r="D38" i="2" l="1"/>
  <c r="D42" i="2"/>
  <c r="D46" i="2"/>
  <c r="D39" i="2"/>
  <c r="D43" i="2"/>
  <c r="D47" i="2"/>
  <c r="D36" i="2"/>
  <c r="D40" i="2"/>
  <c r="D44" i="2"/>
  <c r="D48" i="2"/>
  <c r="D21" i="2"/>
  <c r="H21" i="2"/>
  <c r="I21" i="2" s="1"/>
  <c r="J21" i="2"/>
  <c r="K21" i="2"/>
  <c r="M21" i="2"/>
  <c r="L21" i="2"/>
  <c r="L5" i="1"/>
  <c r="D35" i="2"/>
  <c r="D34" i="2"/>
  <c r="D30" i="2"/>
  <c r="D26" i="2"/>
  <c r="D22" i="2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F36" i="2" s="1"/>
  <c r="D32" i="2"/>
  <c r="D33" i="2"/>
  <c r="D28" i="2"/>
  <c r="D23" i="2"/>
  <c r="D27" i="2"/>
  <c r="D31" i="2"/>
  <c r="D29" i="2"/>
  <c r="D25" i="2"/>
  <c r="D24" i="2"/>
  <c r="H36" i="2" l="1"/>
  <c r="G37" i="2"/>
  <c r="F37" i="2" s="1"/>
  <c r="F23" i="2"/>
  <c r="H23" i="2" s="1"/>
  <c r="M5" i="1"/>
  <c r="L6" i="1"/>
  <c r="F22" i="2"/>
  <c r="H22" i="2" s="1"/>
  <c r="F24" i="2"/>
  <c r="H24" i="2" s="1"/>
  <c r="G38" i="2" l="1"/>
  <c r="F38" i="2" s="1"/>
  <c r="H37" i="2"/>
  <c r="K22" i="2"/>
  <c r="J22" i="2"/>
  <c r="L22" i="2"/>
  <c r="M22" i="2"/>
  <c r="I22" i="2"/>
  <c r="I23" i="2" s="1"/>
  <c r="M6" i="1"/>
  <c r="L7" i="1"/>
  <c r="F25" i="2"/>
  <c r="H25" i="2" s="1"/>
  <c r="G39" i="2" l="1"/>
  <c r="L23" i="2"/>
  <c r="H38" i="2"/>
  <c r="F39" i="2"/>
  <c r="G40" i="2"/>
  <c r="K23" i="2"/>
  <c r="J23" i="2"/>
  <c r="M23" i="2"/>
  <c r="I24" i="2"/>
  <c r="L8" i="1"/>
  <c r="M7" i="1"/>
  <c r="K24" i="2" s="1"/>
  <c r="F26" i="2"/>
  <c r="H26" i="2" s="1"/>
  <c r="F40" i="2" l="1"/>
  <c r="G41" i="2"/>
  <c r="H39" i="2"/>
  <c r="I25" i="2"/>
  <c r="I26" i="2" s="1"/>
  <c r="J24" i="2"/>
  <c r="L24" i="2"/>
  <c r="M24" i="2"/>
  <c r="L9" i="1"/>
  <c r="M8" i="1"/>
  <c r="F27" i="2"/>
  <c r="H27" i="2" s="1"/>
  <c r="L25" i="2" l="1"/>
  <c r="H40" i="2"/>
  <c r="F41" i="2"/>
  <c r="G42" i="2"/>
  <c r="K25" i="2"/>
  <c r="J25" i="2"/>
  <c r="M25" i="2"/>
  <c r="I27" i="2"/>
  <c r="L10" i="1"/>
  <c r="M9" i="1"/>
  <c r="F28" i="2"/>
  <c r="H28" i="2" s="1"/>
  <c r="F42" i="2" l="1"/>
  <c r="G43" i="2"/>
  <c r="H41" i="2"/>
  <c r="I28" i="2"/>
  <c r="M10" i="1"/>
  <c r="J26" i="2" s="1"/>
  <c r="L11" i="1"/>
  <c r="F29" i="2"/>
  <c r="H29" i="2" s="1"/>
  <c r="H42" i="2" l="1"/>
  <c r="G44" i="2"/>
  <c r="F43" i="2"/>
  <c r="K26" i="2"/>
  <c r="M26" i="2"/>
  <c r="L26" i="2"/>
  <c r="I29" i="2"/>
  <c r="L12" i="1"/>
  <c r="M11" i="1"/>
  <c r="F30" i="2"/>
  <c r="H30" i="2" s="1"/>
  <c r="L27" i="2" l="1"/>
  <c r="H43" i="2"/>
  <c r="F44" i="2"/>
  <c r="G45" i="2"/>
  <c r="M27" i="2"/>
  <c r="J27" i="2"/>
  <c r="K27" i="2"/>
  <c r="I30" i="2"/>
  <c r="L13" i="1"/>
  <c r="M12" i="1"/>
  <c r="F31" i="2"/>
  <c r="H31" i="2" s="1"/>
  <c r="F45" i="2" l="1"/>
  <c r="G46" i="2"/>
  <c r="H44" i="2"/>
  <c r="M28" i="2"/>
  <c r="J28" i="2"/>
  <c r="K28" i="2"/>
  <c r="L28" i="2"/>
  <c r="I31" i="2"/>
  <c r="L14" i="1"/>
  <c r="M13" i="1"/>
  <c r="F32" i="2"/>
  <c r="H32" i="2" s="1"/>
  <c r="K29" i="2" l="1"/>
  <c r="F46" i="2"/>
  <c r="G47" i="2"/>
  <c r="H45" i="2"/>
  <c r="J29" i="2"/>
  <c r="L29" i="2"/>
  <c r="M29" i="2"/>
  <c r="I32" i="2"/>
  <c r="M14" i="1"/>
  <c r="L15" i="1"/>
  <c r="F33" i="2"/>
  <c r="H33" i="2" s="1"/>
  <c r="F47" i="2" l="1"/>
  <c r="G48" i="2"/>
  <c r="F48" i="2" s="1"/>
  <c r="H46" i="2"/>
  <c r="M15" i="1"/>
  <c r="L16" i="1"/>
  <c r="L30" i="2"/>
  <c r="K30" i="2"/>
  <c r="M30" i="2"/>
  <c r="J30" i="2"/>
  <c r="N30" i="2" s="1"/>
  <c r="I33" i="2"/>
  <c r="F34" i="2"/>
  <c r="H34" i="2" s="1"/>
  <c r="J31" i="2" l="1"/>
  <c r="N31" i="2" s="1"/>
  <c r="H48" i="2"/>
  <c r="H47" i="2"/>
  <c r="L31" i="2"/>
  <c r="M31" i="2"/>
  <c r="K31" i="2"/>
  <c r="L17" i="1"/>
  <c r="M16" i="1"/>
  <c r="I34" i="2"/>
  <c r="F35" i="2"/>
  <c r="H35" i="2" s="1"/>
  <c r="K32" i="2" l="1"/>
  <c r="L32" i="2"/>
  <c r="M32" i="2"/>
  <c r="J32" i="2"/>
  <c r="N32" i="2" s="1"/>
  <c r="M17" i="1"/>
  <c r="J33" i="2" s="1"/>
  <c r="L18" i="1"/>
  <c r="L19" i="1" s="1"/>
  <c r="I35" i="2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M19" i="1" l="1"/>
  <c r="L20" i="1"/>
  <c r="N33" i="2"/>
  <c r="M18" i="1"/>
  <c r="M34" i="2" s="1"/>
  <c r="M33" i="2"/>
  <c r="L33" i="2"/>
  <c r="K33" i="2"/>
  <c r="J34" i="2" l="1"/>
  <c r="N34" i="2" s="1"/>
  <c r="K34" i="2"/>
  <c r="J35" i="2"/>
  <c r="L34" i="2"/>
  <c r="L21" i="1"/>
  <c r="M20" i="1"/>
  <c r="M35" i="2"/>
  <c r="K35" i="2"/>
  <c r="L35" i="2"/>
  <c r="M21" i="1" l="1"/>
  <c r="L22" i="1"/>
  <c r="L23" i="1" l="1"/>
  <c r="M22" i="1"/>
  <c r="M23" i="1" l="1"/>
  <c r="L24" i="1"/>
  <c r="L25" i="1" l="1"/>
  <c r="M24" i="1"/>
  <c r="M25" i="1" l="1"/>
  <c r="L26" i="1"/>
  <c r="L27" i="1" l="1"/>
  <c r="M26" i="1"/>
  <c r="M27" i="1" l="1"/>
  <c r="L28" i="1"/>
  <c r="L29" i="1" l="1"/>
  <c r="M28" i="1"/>
  <c r="M29" i="1" l="1"/>
  <c r="L30" i="1"/>
  <c r="L31" i="1" l="1"/>
  <c r="M31" i="1" s="1"/>
  <c r="M30" i="1"/>
  <c r="L36" i="2" l="1"/>
  <c r="J36" i="2"/>
  <c r="K36" i="2"/>
  <c r="M36" i="2"/>
  <c r="J37" i="2"/>
  <c r="M37" i="2"/>
  <c r="L38" i="2"/>
  <c r="K37" i="2"/>
  <c r="L37" i="2"/>
  <c r="L40" i="2"/>
  <c r="K38" i="2"/>
  <c r="J39" i="2"/>
  <c r="J38" i="2"/>
  <c r="L39" i="2"/>
  <c r="M38" i="2"/>
  <c r="M39" i="2"/>
  <c r="K39" i="2"/>
  <c r="M40" i="2"/>
  <c r="J40" i="2"/>
  <c r="K40" i="2"/>
  <c r="K41" i="2"/>
  <c r="L41" i="2"/>
  <c r="J41" i="2"/>
  <c r="K42" i="2"/>
  <c r="M41" i="2"/>
  <c r="M43" i="2"/>
  <c r="M42" i="2"/>
  <c r="L42" i="2"/>
  <c r="J42" i="2"/>
  <c r="K43" i="2"/>
  <c r="L43" i="2"/>
  <c r="M44" i="2"/>
  <c r="K44" i="2"/>
  <c r="J43" i="2"/>
  <c r="L45" i="2"/>
  <c r="M45" i="2"/>
  <c r="J44" i="2"/>
  <c r="L47" i="2"/>
  <c r="L46" i="2"/>
  <c r="K47" i="2"/>
  <c r="K46" i="2"/>
  <c r="J45" i="2"/>
  <c r="M47" i="2"/>
  <c r="M48" i="2" s="1"/>
  <c r="L48" i="2"/>
  <c r="J47" i="2"/>
  <c r="J48" i="2"/>
  <c r="M46" i="2"/>
  <c r="K45" i="2"/>
  <c r="K48" i="2"/>
  <c r="J46" i="2"/>
  <c r="L44" i="2"/>
</calcChain>
</file>

<file path=xl/sharedStrings.xml><?xml version="1.0" encoding="utf-8"?>
<sst xmlns="http://schemas.openxmlformats.org/spreadsheetml/2006/main" count="134" uniqueCount="77">
  <si>
    <t>Team 1</t>
  </si>
  <si>
    <t>Team 2</t>
  </si>
  <si>
    <t>Total Developers</t>
  </si>
  <si>
    <t>Team 3</t>
  </si>
  <si>
    <t>Team 4</t>
  </si>
  <si>
    <t>Team 5</t>
  </si>
  <si>
    <t>Team 6</t>
  </si>
  <si>
    <t>Team 7</t>
  </si>
  <si>
    <t>Gross Program Velocity</t>
  </si>
  <si>
    <t>Program Configuration</t>
  </si>
  <si>
    <t>Development Start</t>
  </si>
  <si>
    <t># of Developers</t>
  </si>
  <si>
    <t>Weeks / Sprint</t>
  </si>
  <si>
    <t>Sprints</t>
  </si>
  <si>
    <t>Sprint Number</t>
  </si>
  <si>
    <t>Sprint End</t>
  </si>
  <si>
    <t>Observed Holidays</t>
  </si>
  <si>
    <t>New Year</t>
  </si>
  <si>
    <t>President's Day</t>
  </si>
  <si>
    <t>Martin Luther King, Jr. Day</t>
  </si>
  <si>
    <t>Spring Break Start</t>
  </si>
  <si>
    <t>Memorial Day</t>
  </si>
  <si>
    <t>Labor Day</t>
  </si>
  <si>
    <t>Thanksgiving</t>
  </si>
  <si>
    <t>Independence Day</t>
  </si>
  <si>
    <t>Secular</t>
  </si>
  <si>
    <t>Good Friday</t>
  </si>
  <si>
    <t>Spring Festival (Asia)</t>
  </si>
  <si>
    <t>Yom Kippur</t>
  </si>
  <si>
    <t>Christmas</t>
  </si>
  <si>
    <t>Date</t>
  </si>
  <si>
    <t>Sprint</t>
  </si>
  <si>
    <t>Points / Sprint</t>
  </si>
  <si>
    <t>Developer Velocity</t>
  </si>
  <si>
    <t>Ash Wednesday</t>
  </si>
  <si>
    <t>Eid</t>
  </si>
  <si>
    <t>Capacity (%)</t>
  </si>
  <si>
    <t>Observance</t>
  </si>
  <si>
    <t>Adjusted Capacity</t>
  </si>
  <si>
    <t>Projectected Capacity</t>
  </si>
  <si>
    <t>Religious</t>
  </si>
  <si>
    <t>Team Name</t>
  </si>
  <si>
    <t>Capaity Adjustments</t>
  </si>
  <si>
    <t>Chart Data</t>
  </si>
  <si>
    <t>Sprint Ending</t>
  </si>
  <si>
    <t>Completed Work</t>
  </si>
  <si>
    <t>Estimated Effort</t>
  </si>
  <si>
    <t>Known Effort</t>
  </si>
  <si>
    <t>Sprint Metrics &amp; Planning</t>
  </si>
  <si>
    <t>Projected Velocity</t>
  </si>
  <si>
    <t>Planned Effort</t>
  </si>
  <si>
    <t>Scheduled Work</t>
  </si>
  <si>
    <t>Progress</t>
  </si>
  <si>
    <t>Development End</t>
  </si>
  <si>
    <t>Yes</t>
  </si>
  <si>
    <t>Forecast</t>
  </si>
  <si>
    <t>No</t>
  </si>
  <si>
    <t>N/A</t>
  </si>
  <si>
    <t>v. 10.24</t>
  </si>
  <si>
    <t>LinkedIn</t>
  </si>
  <si>
    <t>Medium</t>
  </si>
  <si>
    <t>Maha Shivaratri</t>
  </si>
  <si>
    <t>Shri Ramakrishna Jayanti</t>
  </si>
  <si>
    <t>Ramadan Ends</t>
  </si>
  <si>
    <t>Ramadan Begins</t>
  </si>
  <si>
    <t>Eid al-Fitr</t>
  </si>
  <si>
    <t>Passover Begins</t>
  </si>
  <si>
    <t>Passover Ends</t>
  </si>
  <si>
    <t>Shavuot</t>
  </si>
  <si>
    <t>Eid-ul-Adha</t>
  </si>
  <si>
    <t>Ashura</t>
  </si>
  <si>
    <t>Krishna Janmashtami</t>
  </si>
  <si>
    <t>Mawlid-al-Nabi</t>
  </si>
  <si>
    <t>Rosh Hashanah</t>
  </si>
  <si>
    <t>Birth of Guru Nanak</t>
  </si>
  <si>
    <t>Show Forecast</t>
  </si>
  <si>
    <r>
      <t>Projected Velocity Template</t>
    </r>
    <r>
      <rPr>
        <sz val="9"/>
        <color theme="1"/>
        <rFont val="Calibri"/>
        <family val="2"/>
        <scheme val="minor"/>
      </rPr>
      <t xml:space="preserve"> by Michael Rodighiero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</si>
</sst>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4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A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2" fillId="4" borderId="0" xfId="0" applyFont="1" applyFill="1"/>
    <xf numFmtId="2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0" fontId="7" fillId="0" borderId="0" xfId="1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left"/>
    </xf>
    <xf numFmtId="0" fontId="10" fillId="7" borderId="0" xfId="0" applyFont="1" applyFill="1"/>
    <xf numFmtId="0" fontId="10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2" borderId="11" xfId="0" applyFont="1" applyFill="1" applyBorder="1"/>
    <xf numFmtId="0" fontId="13" fillId="4" borderId="2" xfId="0" applyFont="1" applyFill="1" applyBorder="1"/>
    <xf numFmtId="0" fontId="13" fillId="4" borderId="4" xfId="0" applyFont="1" applyFill="1" applyBorder="1" applyAlignment="1">
      <alignment horizontal="center"/>
    </xf>
    <xf numFmtId="0" fontId="12" fillId="2" borderId="3" xfId="0" applyFont="1" applyFill="1" applyBorder="1"/>
    <xf numFmtId="0" fontId="14" fillId="4" borderId="2" xfId="0" applyFont="1" applyFill="1" applyBorder="1" applyAlignment="1">
      <alignment horizontal="left"/>
    </xf>
    <xf numFmtId="0" fontId="13" fillId="4" borderId="3" xfId="0" applyFont="1" applyFill="1" applyBorder="1"/>
    <xf numFmtId="0" fontId="13" fillId="4" borderId="4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5" fillId="0" borderId="4" xfId="0" applyFont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14" fontId="15" fillId="0" borderId="3" xfId="0" applyNumberFormat="1" applyFont="1" applyBorder="1" applyAlignment="1" applyProtection="1">
      <alignment horizontal="left"/>
      <protection locked="0"/>
    </xf>
    <xf numFmtId="9" fontId="16" fillId="0" borderId="4" xfId="1" applyFont="1" applyBorder="1" applyAlignment="1" applyProtection="1">
      <alignment horizontal="center"/>
      <protection locked="0"/>
    </xf>
    <xf numFmtId="14" fontId="17" fillId="2" borderId="2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center"/>
    </xf>
    <xf numFmtId="0" fontId="16" fillId="8" borderId="3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5" fillId="0" borderId="5" xfId="0" applyFont="1" applyBorder="1" applyAlignment="1" applyProtection="1">
      <alignment horizontal="center"/>
      <protection locked="0"/>
    </xf>
    <xf numFmtId="0" fontId="12" fillId="2" borderId="0" xfId="0" applyFont="1" applyFill="1"/>
    <xf numFmtId="14" fontId="15" fillId="0" borderId="0" xfId="0" applyNumberFormat="1" applyFont="1" applyAlignment="1" applyProtection="1">
      <alignment horizontal="left"/>
      <protection locked="0"/>
    </xf>
    <xf numFmtId="9" fontId="16" fillId="0" borderId="5" xfId="1" applyFont="1" applyBorder="1" applyAlignment="1" applyProtection="1">
      <alignment horizontal="center"/>
      <protection locked="0"/>
    </xf>
    <xf numFmtId="0" fontId="10" fillId="2" borderId="12" xfId="0" applyFont="1" applyFill="1" applyBorder="1"/>
    <xf numFmtId="14" fontId="17" fillId="2" borderId="16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16" fillId="8" borderId="0" xfId="0" applyFont="1" applyFill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left"/>
      <protection locked="0"/>
    </xf>
    <xf numFmtId="0" fontId="12" fillId="2" borderId="17" xfId="0" applyFont="1" applyFill="1" applyBorder="1" applyAlignment="1">
      <alignment horizontal="left"/>
    </xf>
    <xf numFmtId="0" fontId="15" fillId="0" borderId="6" xfId="0" applyFont="1" applyBorder="1" applyAlignment="1" applyProtection="1">
      <alignment horizontal="center"/>
      <protection locked="0"/>
    </xf>
    <xf numFmtId="0" fontId="10" fillId="2" borderId="16" xfId="0" applyFont="1" applyFill="1" applyBorder="1"/>
    <xf numFmtId="0" fontId="12" fillId="2" borderId="18" xfId="0" applyFont="1" applyFill="1" applyBorder="1"/>
    <xf numFmtId="0" fontId="15" fillId="0" borderId="7" xfId="0" applyFont="1" applyBorder="1" applyAlignment="1" applyProtection="1">
      <alignment horizontal="center"/>
      <protection locked="0"/>
    </xf>
    <xf numFmtId="0" fontId="12" fillId="2" borderId="1" xfId="0" applyFont="1" applyFill="1" applyBorder="1"/>
    <xf numFmtId="14" fontId="15" fillId="0" borderId="1" xfId="0" applyNumberFormat="1" applyFont="1" applyBorder="1" applyAlignment="1" applyProtection="1">
      <alignment horizontal="left"/>
      <protection locked="0"/>
    </xf>
    <xf numFmtId="9" fontId="16" fillId="0" borderId="6" xfId="1" applyFont="1" applyBorder="1" applyAlignment="1" applyProtection="1">
      <alignment horizontal="center"/>
      <protection locked="0"/>
    </xf>
    <xf numFmtId="0" fontId="10" fillId="2" borderId="0" xfId="0" applyFont="1" applyFill="1"/>
    <xf numFmtId="0" fontId="18" fillId="2" borderId="0" xfId="0" applyFont="1" applyFill="1"/>
    <xf numFmtId="0" fontId="12" fillId="2" borderId="2" xfId="0" applyFont="1" applyFill="1" applyBorder="1"/>
    <xf numFmtId="14" fontId="15" fillId="0" borderId="4" xfId="0" applyNumberFormat="1" applyFont="1" applyBorder="1" applyAlignment="1" applyProtection="1">
      <alignment horizontal="center"/>
      <protection locked="0"/>
    </xf>
    <xf numFmtId="0" fontId="12" fillId="2" borderId="16" xfId="0" applyFont="1" applyFill="1" applyBorder="1"/>
    <xf numFmtId="14" fontId="15" fillId="0" borderId="5" xfId="0" applyNumberFormat="1" applyFont="1" applyBorder="1" applyAlignment="1" applyProtection="1">
      <alignment horizontal="center"/>
      <protection locked="0"/>
    </xf>
    <xf numFmtId="0" fontId="12" fillId="2" borderId="17" xfId="0" applyFont="1" applyFill="1" applyBorder="1"/>
    <xf numFmtId="0" fontId="10" fillId="2" borderId="17" xfId="0" applyFont="1" applyFill="1" applyBorder="1"/>
    <xf numFmtId="0" fontId="10" fillId="2" borderId="1" xfId="0" applyFont="1" applyFill="1" applyBorder="1"/>
    <xf numFmtId="14" fontId="17" fillId="2" borderId="17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/>
    </xf>
    <xf numFmtId="0" fontId="16" fillId="8" borderId="1" xfId="0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horizontal="left"/>
      <protection locked="0"/>
    </xf>
    <xf numFmtId="0" fontId="10" fillId="7" borderId="8" xfId="0" applyFont="1" applyFill="1" applyBorder="1"/>
    <xf numFmtId="0" fontId="12" fillId="7" borderId="9" xfId="0" applyFont="1" applyFill="1" applyBorder="1" applyAlignment="1">
      <alignment horizontal="left"/>
    </xf>
    <xf numFmtId="0" fontId="10" fillId="7" borderId="9" xfId="0" applyFont="1" applyFill="1" applyBorder="1"/>
    <xf numFmtId="0" fontId="10" fillId="7" borderId="9" xfId="0" applyFont="1" applyFill="1" applyBorder="1" applyAlignment="1">
      <alignment horizontal="left"/>
    </xf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left"/>
    </xf>
    <xf numFmtId="0" fontId="10" fillId="7" borderId="13" xfId="0" applyFont="1" applyFill="1" applyBorder="1"/>
    <xf numFmtId="0" fontId="10" fillId="7" borderId="14" xfId="0" applyFont="1" applyFill="1" applyBorder="1"/>
    <xf numFmtId="0" fontId="10" fillId="7" borderId="14" xfId="0" applyFont="1" applyFill="1" applyBorder="1" applyAlignment="1">
      <alignment horizontal="left"/>
    </xf>
    <xf numFmtId="0" fontId="10" fillId="7" borderId="1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left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9" fillId="7" borderId="9" xfId="2" applyFont="1" applyFill="1" applyBorder="1" applyAlignment="1" applyProtection="1">
      <alignment horizontal="center"/>
    </xf>
    <xf numFmtId="0" fontId="19" fillId="7" borderId="9" xfId="2" applyFont="1" applyFill="1" applyBorder="1" applyProtection="1"/>
    <xf numFmtId="0" fontId="13" fillId="4" borderId="9" xfId="0" applyFont="1" applyFill="1" applyBorder="1" applyAlignment="1">
      <alignment horizontal="center" textRotation="90"/>
    </xf>
    <xf numFmtId="0" fontId="13" fillId="4" borderId="0" xfId="0" applyFont="1" applyFill="1" applyAlignment="1">
      <alignment horizontal="center" textRotation="90"/>
    </xf>
    <xf numFmtId="0" fontId="13" fillId="6" borderId="2" xfId="0" applyFont="1" applyFill="1" applyBorder="1" applyAlignment="1">
      <alignment horizontal="center" vertical="center" textRotation="90"/>
    </xf>
    <xf numFmtId="0" fontId="13" fillId="6" borderId="16" xfId="0" applyFont="1" applyFill="1" applyBorder="1" applyAlignment="1">
      <alignment horizontal="center" vertical="center" textRotation="90"/>
    </xf>
    <xf numFmtId="0" fontId="13" fillId="6" borderId="17" xfId="0" applyFont="1" applyFill="1" applyBorder="1" applyAlignment="1">
      <alignment horizontal="center" vertical="center" textRotation="90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textRotation="90"/>
    </xf>
    <xf numFmtId="0" fontId="13" fillId="5" borderId="16" xfId="0" applyFont="1" applyFill="1" applyBorder="1" applyAlignment="1">
      <alignment horizontal="center" vertical="center" textRotation="90"/>
    </xf>
    <xf numFmtId="0" fontId="13" fillId="5" borderId="17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Velocity</a:t>
            </a:r>
            <a:r>
              <a:rPr lang="en-US" baseline="0"/>
              <a:t> - Sprint Numbers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BE!$J$20</c:f>
              <c:strCache>
                <c:ptCount val="1"/>
                <c:pt idx="0">
                  <c:v>Planned Effort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BE!$J$21:$J$36</c:f>
              <c:numCache>
                <c:formatCode>General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36</c:v>
                </c:pt>
                <c:pt idx="6">
                  <c:v>35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50</c:v>
                </c:pt>
                <c:pt idx="11">
                  <c:v>55</c:v>
                </c:pt>
                <c:pt idx="12">
                  <c:v>42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A-4743-88A6-7864DBD9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136384"/>
        <c:axId val="726133864"/>
      </c:areaChart>
      <c:lineChart>
        <c:grouping val="standard"/>
        <c:varyColors val="0"/>
        <c:ser>
          <c:idx val="0"/>
          <c:order val="0"/>
          <c:tx>
            <c:strRef>
              <c:f>BE!$I$20</c:f>
              <c:strCache>
                <c:ptCount val="1"/>
                <c:pt idx="0">
                  <c:v>Projected Velocity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BE!$I$21:$I$36</c:f>
              <c:numCache>
                <c:formatCode>General</c:formatCode>
                <c:ptCount val="16"/>
                <c:pt idx="0">
                  <c:v>40</c:v>
                </c:pt>
                <c:pt idx="1">
                  <c:v>80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238</c:v>
                </c:pt>
                <c:pt idx="6">
                  <c:v>276</c:v>
                </c:pt>
                <c:pt idx="7">
                  <c:v>296</c:v>
                </c:pt>
                <c:pt idx="8">
                  <c:v>316</c:v>
                </c:pt>
                <c:pt idx="9">
                  <c:v>336</c:v>
                </c:pt>
                <c:pt idx="10">
                  <c:v>368</c:v>
                </c:pt>
                <c:pt idx="11">
                  <c:v>400</c:v>
                </c:pt>
                <c:pt idx="12">
                  <c:v>432</c:v>
                </c:pt>
                <c:pt idx="13">
                  <c:v>464</c:v>
                </c:pt>
                <c:pt idx="14">
                  <c:v>496</c:v>
                </c:pt>
                <c:pt idx="1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A-4743-88A6-7864DBD961E2}"/>
            </c:ext>
          </c:extLst>
        </c:ser>
        <c:ser>
          <c:idx val="2"/>
          <c:order val="2"/>
          <c:tx>
            <c:strRef>
              <c:f>BE!$K$20</c:f>
              <c:strCache>
                <c:ptCount val="1"/>
                <c:pt idx="0">
                  <c:v>Known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BE!$K$21:$K$36</c:f>
              <c:numCache>
                <c:formatCode>General</c:formatCode>
                <c:ptCount val="16"/>
                <c:pt idx="0">
                  <c:v>25</c:v>
                </c:pt>
                <c:pt idx="1">
                  <c:v>77</c:v>
                </c:pt>
                <c:pt idx="2">
                  <c:v>87</c:v>
                </c:pt>
                <c:pt idx="3">
                  <c:v>145</c:v>
                </c:pt>
                <c:pt idx="4">
                  <c:v>168</c:v>
                </c:pt>
                <c:pt idx="5">
                  <c:v>341</c:v>
                </c:pt>
                <c:pt idx="6">
                  <c:v>362</c:v>
                </c:pt>
                <c:pt idx="7">
                  <c:v>395</c:v>
                </c:pt>
                <c:pt idx="8">
                  <c:v>415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A-4743-88A6-7864DBD961E2}"/>
            </c:ext>
          </c:extLst>
        </c:ser>
        <c:ser>
          <c:idx val="3"/>
          <c:order val="3"/>
          <c:tx>
            <c:strRef>
              <c:f>BE!$L$20</c:f>
              <c:strCache>
                <c:ptCount val="1"/>
                <c:pt idx="0">
                  <c:v>Estimated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BE!$L$21:$L$36</c:f>
              <c:numCache>
                <c:formatCode>General</c:formatCode>
                <c:ptCount val="16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437</c:v>
                </c:pt>
                <c:pt idx="5">
                  <c:v>437</c:v>
                </c:pt>
                <c:pt idx="6">
                  <c:v>437</c:v>
                </c:pt>
                <c:pt idx="7">
                  <c:v>445</c:v>
                </c:pt>
                <c:pt idx="8">
                  <c:v>445</c:v>
                </c:pt>
                <c:pt idx="9">
                  <c:v>445</c:v>
                </c:pt>
                <c:pt idx="10">
                  <c:v>445</c:v>
                </c:pt>
                <c:pt idx="11">
                  <c:v>445</c:v>
                </c:pt>
                <c:pt idx="12">
                  <c:v>445</c:v>
                </c:pt>
                <c:pt idx="13">
                  <c:v>445</c:v>
                </c:pt>
                <c:pt idx="14">
                  <c:v>445</c:v>
                </c:pt>
                <c:pt idx="15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A-4743-88A6-7864DBD961E2}"/>
            </c:ext>
          </c:extLst>
        </c:ser>
        <c:ser>
          <c:idx val="4"/>
          <c:order val="4"/>
          <c:tx>
            <c:strRef>
              <c:f>BE!$M$20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BE!$M$21:$M$36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35</c:v>
                </c:pt>
                <c:pt idx="3">
                  <c:v>50</c:v>
                </c:pt>
                <c:pt idx="4">
                  <c:v>80</c:v>
                </c:pt>
                <c:pt idx="5">
                  <c:v>118</c:v>
                </c:pt>
                <c:pt idx="6">
                  <c:v>160</c:v>
                </c:pt>
                <c:pt idx="7">
                  <c:v>200</c:v>
                </c:pt>
                <c:pt idx="8">
                  <c:v>240</c:v>
                </c:pt>
                <c:pt idx="9">
                  <c:v>280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A-4743-88A6-7864DBD961E2}"/>
            </c:ext>
          </c:extLst>
        </c:ser>
        <c:ser>
          <c:idx val="5"/>
          <c:order val="5"/>
          <c:tx>
            <c:strRef>
              <c:f>BE!$N$20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BE!$N$21:$N$36</c:f>
              <c:numCache>
                <c:formatCode>General</c:formatCode>
                <c:ptCount val="1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280</c:v>
                </c:pt>
                <c:pt idx="10">
                  <c:v>330</c:v>
                </c:pt>
                <c:pt idx="11">
                  <c:v>385</c:v>
                </c:pt>
                <c:pt idx="12">
                  <c:v>427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0A-4743-88A6-7864DBD9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136384"/>
        <c:axId val="726133864"/>
      </c:lineChart>
      <c:catAx>
        <c:axId val="7261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32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3864"/>
        <c:crosses val="autoZero"/>
        <c:auto val="1"/>
        <c:lblAlgn val="ctr"/>
        <c:lblOffset val="100"/>
        <c:noMultiLvlLbl val="0"/>
      </c:catAx>
      <c:valAx>
        <c:axId val="72613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Projected Velocity - Sprint End Dates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BE!$J$20</c:f>
              <c:strCache>
                <c:ptCount val="1"/>
                <c:pt idx="0">
                  <c:v>Planned Effort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BE!$F$21:$F$36</c15:sqref>
                  </c15:fullRef>
                </c:ext>
              </c:extLst>
              <c:f>BE!$F$21:$F$35</c:f>
              <c:strCache>
                <c:ptCount val="15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BE!$J$21:$J$36</c15:sqref>
                  </c15:fullRef>
                </c:ext>
              </c:extLst>
              <c:f>BE!$J$21:$J$35</c:f>
              <c:numCache>
                <c:formatCode>General</c:formatCode>
                <c:ptCount val="15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36</c:v>
                </c:pt>
                <c:pt idx="6">
                  <c:v>35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50</c:v>
                </c:pt>
                <c:pt idx="11">
                  <c:v>55</c:v>
                </c:pt>
                <c:pt idx="12">
                  <c:v>42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4C7-97E2-63112D4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136384"/>
        <c:axId val="726133864"/>
      </c:areaChart>
      <c:lineChart>
        <c:grouping val="standard"/>
        <c:varyColors val="0"/>
        <c:ser>
          <c:idx val="0"/>
          <c:order val="0"/>
          <c:tx>
            <c:strRef>
              <c:f>BE!$I$20</c:f>
              <c:strCache>
                <c:ptCount val="1"/>
                <c:pt idx="0">
                  <c:v>Projected Velocity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BE!$G$21:$G$35</c15:sqref>
                  </c15:fullRef>
                </c:ext>
              </c:extLst>
              <c:f>BE!$G$21:$G$35</c:f>
              <c:numCache>
                <c:formatCode>m/d/yyyy</c:formatCode>
                <c:ptCount val="15"/>
                <c:pt idx="0">
                  <c:v>45590</c:v>
                </c:pt>
                <c:pt idx="1">
                  <c:v>45604</c:v>
                </c:pt>
                <c:pt idx="2">
                  <c:v>45618</c:v>
                </c:pt>
                <c:pt idx="3">
                  <c:v>45632</c:v>
                </c:pt>
                <c:pt idx="4">
                  <c:v>45646</c:v>
                </c:pt>
                <c:pt idx="5">
                  <c:v>45674</c:v>
                </c:pt>
                <c:pt idx="6">
                  <c:v>45688</c:v>
                </c:pt>
                <c:pt idx="7">
                  <c:v>45702</c:v>
                </c:pt>
                <c:pt idx="8">
                  <c:v>45716</c:v>
                </c:pt>
                <c:pt idx="9">
                  <c:v>45730</c:v>
                </c:pt>
                <c:pt idx="10">
                  <c:v>45744</c:v>
                </c:pt>
                <c:pt idx="11">
                  <c:v>45758</c:v>
                </c:pt>
                <c:pt idx="12">
                  <c:v>45772</c:v>
                </c:pt>
                <c:pt idx="13">
                  <c:v>45786</c:v>
                </c:pt>
                <c:pt idx="14">
                  <c:v>45800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BE!$I$21:$I$36</c15:sqref>
                  </c15:fullRef>
                </c:ext>
              </c:extLst>
              <c:f>BE!$I$21:$I$35</c:f>
              <c:numCache>
                <c:formatCode>General</c:formatCode>
                <c:ptCount val="15"/>
                <c:pt idx="0">
                  <c:v>40</c:v>
                </c:pt>
                <c:pt idx="1">
                  <c:v>80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238</c:v>
                </c:pt>
                <c:pt idx="6">
                  <c:v>276</c:v>
                </c:pt>
                <c:pt idx="7">
                  <c:v>296</c:v>
                </c:pt>
                <c:pt idx="8">
                  <c:v>316</c:v>
                </c:pt>
                <c:pt idx="9">
                  <c:v>336</c:v>
                </c:pt>
                <c:pt idx="10">
                  <c:v>368</c:v>
                </c:pt>
                <c:pt idx="11">
                  <c:v>400</c:v>
                </c:pt>
                <c:pt idx="12">
                  <c:v>432</c:v>
                </c:pt>
                <c:pt idx="13">
                  <c:v>464</c:v>
                </c:pt>
                <c:pt idx="14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6-44C7-97E2-63112D414EC2}"/>
            </c:ext>
          </c:extLst>
        </c:ser>
        <c:ser>
          <c:idx val="2"/>
          <c:order val="2"/>
          <c:tx>
            <c:strRef>
              <c:f>BE!$K$20</c:f>
              <c:strCache>
                <c:ptCount val="1"/>
                <c:pt idx="0">
                  <c:v>Known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BE!$G$21:$G$35</c15:sqref>
                  </c15:fullRef>
                </c:ext>
              </c:extLst>
              <c:f>BE!$G$21:$G$35</c:f>
              <c:numCache>
                <c:formatCode>m/d/yyyy</c:formatCode>
                <c:ptCount val="15"/>
                <c:pt idx="0">
                  <c:v>45590</c:v>
                </c:pt>
                <c:pt idx="1">
                  <c:v>45604</c:v>
                </c:pt>
                <c:pt idx="2">
                  <c:v>45618</c:v>
                </c:pt>
                <c:pt idx="3">
                  <c:v>45632</c:v>
                </c:pt>
                <c:pt idx="4">
                  <c:v>45646</c:v>
                </c:pt>
                <c:pt idx="5">
                  <c:v>45674</c:v>
                </c:pt>
                <c:pt idx="6">
                  <c:v>45688</c:v>
                </c:pt>
                <c:pt idx="7">
                  <c:v>45702</c:v>
                </c:pt>
                <c:pt idx="8">
                  <c:v>45716</c:v>
                </c:pt>
                <c:pt idx="9">
                  <c:v>45730</c:v>
                </c:pt>
                <c:pt idx="10">
                  <c:v>45744</c:v>
                </c:pt>
                <c:pt idx="11">
                  <c:v>45758</c:v>
                </c:pt>
                <c:pt idx="12">
                  <c:v>45772</c:v>
                </c:pt>
                <c:pt idx="13">
                  <c:v>45786</c:v>
                </c:pt>
                <c:pt idx="14">
                  <c:v>45800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BE!$K$21:$K$36</c15:sqref>
                  </c15:fullRef>
                </c:ext>
              </c:extLst>
              <c:f>BE!$K$21:$K$35</c:f>
              <c:numCache>
                <c:formatCode>General</c:formatCode>
                <c:ptCount val="15"/>
                <c:pt idx="0">
                  <c:v>25</c:v>
                </c:pt>
                <c:pt idx="1">
                  <c:v>77</c:v>
                </c:pt>
                <c:pt idx="2">
                  <c:v>87</c:v>
                </c:pt>
                <c:pt idx="3">
                  <c:v>145</c:v>
                </c:pt>
                <c:pt idx="4">
                  <c:v>168</c:v>
                </c:pt>
                <c:pt idx="5">
                  <c:v>341</c:v>
                </c:pt>
                <c:pt idx="6">
                  <c:v>362</c:v>
                </c:pt>
                <c:pt idx="7">
                  <c:v>395</c:v>
                </c:pt>
                <c:pt idx="8">
                  <c:v>415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6-44C7-97E2-63112D414EC2}"/>
            </c:ext>
          </c:extLst>
        </c:ser>
        <c:ser>
          <c:idx val="3"/>
          <c:order val="3"/>
          <c:tx>
            <c:strRef>
              <c:f>BE!$L$20</c:f>
              <c:strCache>
                <c:ptCount val="1"/>
                <c:pt idx="0">
                  <c:v>Estimated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BE!$G$21:$G$35</c15:sqref>
                  </c15:fullRef>
                </c:ext>
              </c:extLst>
              <c:f>BE!$G$21:$G$35</c:f>
              <c:numCache>
                <c:formatCode>m/d/yyyy</c:formatCode>
                <c:ptCount val="15"/>
                <c:pt idx="0">
                  <c:v>45590</c:v>
                </c:pt>
                <c:pt idx="1">
                  <c:v>45604</c:v>
                </c:pt>
                <c:pt idx="2">
                  <c:v>45618</c:v>
                </c:pt>
                <c:pt idx="3">
                  <c:v>45632</c:v>
                </c:pt>
                <c:pt idx="4">
                  <c:v>45646</c:v>
                </c:pt>
                <c:pt idx="5">
                  <c:v>45674</c:v>
                </c:pt>
                <c:pt idx="6">
                  <c:v>45688</c:v>
                </c:pt>
                <c:pt idx="7">
                  <c:v>45702</c:v>
                </c:pt>
                <c:pt idx="8">
                  <c:v>45716</c:v>
                </c:pt>
                <c:pt idx="9">
                  <c:v>45730</c:v>
                </c:pt>
                <c:pt idx="10">
                  <c:v>45744</c:v>
                </c:pt>
                <c:pt idx="11">
                  <c:v>45758</c:v>
                </c:pt>
                <c:pt idx="12">
                  <c:v>45772</c:v>
                </c:pt>
                <c:pt idx="13">
                  <c:v>45786</c:v>
                </c:pt>
                <c:pt idx="14">
                  <c:v>45800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BE!$L$21:$L$36</c15:sqref>
                  </c15:fullRef>
                </c:ext>
              </c:extLst>
              <c:f>BE!$L$21:$L$35</c:f>
              <c:numCache>
                <c:formatCode>General</c:formatCode>
                <c:ptCount val="15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437</c:v>
                </c:pt>
                <c:pt idx="5">
                  <c:v>437</c:v>
                </c:pt>
                <c:pt idx="6">
                  <c:v>437</c:v>
                </c:pt>
                <c:pt idx="7">
                  <c:v>445</c:v>
                </c:pt>
                <c:pt idx="8">
                  <c:v>445</c:v>
                </c:pt>
                <c:pt idx="9">
                  <c:v>445</c:v>
                </c:pt>
                <c:pt idx="10">
                  <c:v>445</c:v>
                </c:pt>
                <c:pt idx="11">
                  <c:v>445</c:v>
                </c:pt>
                <c:pt idx="12">
                  <c:v>445</c:v>
                </c:pt>
                <c:pt idx="13">
                  <c:v>445</c:v>
                </c:pt>
                <c:pt idx="14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76-44C7-97E2-63112D414EC2}"/>
            </c:ext>
          </c:extLst>
        </c:ser>
        <c:ser>
          <c:idx val="4"/>
          <c:order val="4"/>
          <c:tx>
            <c:strRef>
              <c:f>BE!$M$20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BE!$G$21:$G$35</c15:sqref>
                  </c15:fullRef>
                </c:ext>
              </c:extLst>
              <c:f>BE!$G$21:$G$35</c:f>
              <c:numCache>
                <c:formatCode>m/d/yyyy</c:formatCode>
                <c:ptCount val="15"/>
                <c:pt idx="0">
                  <c:v>45590</c:v>
                </c:pt>
                <c:pt idx="1">
                  <c:v>45604</c:v>
                </c:pt>
                <c:pt idx="2">
                  <c:v>45618</c:v>
                </c:pt>
                <c:pt idx="3">
                  <c:v>45632</c:v>
                </c:pt>
                <c:pt idx="4">
                  <c:v>45646</c:v>
                </c:pt>
                <c:pt idx="5">
                  <c:v>45674</c:v>
                </c:pt>
                <c:pt idx="6">
                  <c:v>45688</c:v>
                </c:pt>
                <c:pt idx="7">
                  <c:v>45702</c:v>
                </c:pt>
                <c:pt idx="8">
                  <c:v>45716</c:v>
                </c:pt>
                <c:pt idx="9">
                  <c:v>45730</c:v>
                </c:pt>
                <c:pt idx="10">
                  <c:v>45744</c:v>
                </c:pt>
                <c:pt idx="11">
                  <c:v>45758</c:v>
                </c:pt>
                <c:pt idx="12">
                  <c:v>45772</c:v>
                </c:pt>
                <c:pt idx="13">
                  <c:v>45786</c:v>
                </c:pt>
                <c:pt idx="14">
                  <c:v>45800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BE!$M$21:$M$36</c15:sqref>
                  </c15:fullRef>
                </c:ext>
              </c:extLst>
              <c:f>BE!$M$21:$M$35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35</c:v>
                </c:pt>
                <c:pt idx="3">
                  <c:v>50</c:v>
                </c:pt>
                <c:pt idx="4">
                  <c:v>80</c:v>
                </c:pt>
                <c:pt idx="5">
                  <c:v>118</c:v>
                </c:pt>
                <c:pt idx="6">
                  <c:v>160</c:v>
                </c:pt>
                <c:pt idx="7">
                  <c:v>200</c:v>
                </c:pt>
                <c:pt idx="8">
                  <c:v>240</c:v>
                </c:pt>
                <c:pt idx="9">
                  <c:v>280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76-44C7-97E2-63112D414EC2}"/>
            </c:ext>
          </c:extLst>
        </c:ser>
        <c:ser>
          <c:idx val="5"/>
          <c:order val="5"/>
          <c:tx>
            <c:strRef>
              <c:f>BE!$N$20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BE!$G$21:$G$35</c15:sqref>
                  </c15:fullRef>
                </c:ext>
              </c:extLst>
              <c:f>BE!$G$21:$G$35</c:f>
              <c:numCache>
                <c:formatCode>m/d/yyyy</c:formatCode>
                <c:ptCount val="15"/>
                <c:pt idx="0">
                  <c:v>45590</c:v>
                </c:pt>
                <c:pt idx="1">
                  <c:v>45604</c:v>
                </c:pt>
                <c:pt idx="2">
                  <c:v>45618</c:v>
                </c:pt>
                <c:pt idx="3">
                  <c:v>45632</c:v>
                </c:pt>
                <c:pt idx="4">
                  <c:v>45646</c:v>
                </c:pt>
                <c:pt idx="5">
                  <c:v>45674</c:v>
                </c:pt>
                <c:pt idx="6">
                  <c:v>45688</c:v>
                </c:pt>
                <c:pt idx="7">
                  <c:v>45702</c:v>
                </c:pt>
                <c:pt idx="8">
                  <c:v>45716</c:v>
                </c:pt>
                <c:pt idx="9">
                  <c:v>45730</c:v>
                </c:pt>
                <c:pt idx="10">
                  <c:v>45744</c:v>
                </c:pt>
                <c:pt idx="11">
                  <c:v>45758</c:v>
                </c:pt>
                <c:pt idx="12">
                  <c:v>45772</c:v>
                </c:pt>
                <c:pt idx="13">
                  <c:v>45786</c:v>
                </c:pt>
                <c:pt idx="14">
                  <c:v>45800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BE!$N$21:$N$36</c15:sqref>
                  </c15:fullRef>
                </c:ext>
              </c:extLst>
              <c:f>BE!$N$21:$N$35</c:f>
              <c:numCache>
                <c:formatCode>General</c:formatCode>
                <c:ptCount val="1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280</c:v>
                </c:pt>
                <c:pt idx="10">
                  <c:v>330</c:v>
                </c:pt>
                <c:pt idx="11">
                  <c:v>385</c:v>
                </c:pt>
                <c:pt idx="12">
                  <c:v>427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76-44C7-97E2-63112D4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136384"/>
        <c:axId val="726133864"/>
      </c:lineChart>
      <c:dateAx>
        <c:axId val="726136384"/>
        <c:scaling>
          <c:orientation val="minMax"/>
        </c:scaling>
        <c:delete val="0"/>
        <c:axPos val="b"/>
        <c:numFmt formatCode="m/d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32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3864"/>
        <c:crosses val="autoZero"/>
        <c:auto val="1"/>
        <c:lblOffset val="100"/>
        <c:baseTimeUnit val="days"/>
      </c:dateAx>
      <c:valAx>
        <c:axId val="72613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BE!$J$20</c:f>
              <c:strCache>
                <c:ptCount val="1"/>
                <c:pt idx="0">
                  <c:v>Planned Effort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BE!$J$21:$J$36</c:f>
              <c:numCache>
                <c:formatCode>General</c:formatCode>
                <c:ptCount val="16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30</c:v>
                </c:pt>
                <c:pt idx="5">
                  <c:v>36</c:v>
                </c:pt>
                <c:pt idx="6">
                  <c:v>35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50</c:v>
                </c:pt>
                <c:pt idx="11">
                  <c:v>55</c:v>
                </c:pt>
                <c:pt idx="12">
                  <c:v>42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A-411B-A7CC-57414AB9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136384"/>
        <c:axId val="726133864"/>
      </c:barChart>
      <c:lineChart>
        <c:grouping val="standard"/>
        <c:varyColors val="0"/>
        <c:ser>
          <c:idx val="0"/>
          <c:order val="0"/>
          <c:tx>
            <c:strRef>
              <c:f>BE!$I$20</c:f>
              <c:strCache>
                <c:ptCount val="1"/>
                <c:pt idx="0">
                  <c:v>Projected Velocity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BE!$I$21:$I$36</c:f>
              <c:numCache>
                <c:formatCode>General</c:formatCode>
                <c:ptCount val="16"/>
                <c:pt idx="0">
                  <c:v>40</c:v>
                </c:pt>
                <c:pt idx="1">
                  <c:v>80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238</c:v>
                </c:pt>
                <c:pt idx="6">
                  <c:v>276</c:v>
                </c:pt>
                <c:pt idx="7">
                  <c:v>296</c:v>
                </c:pt>
                <c:pt idx="8">
                  <c:v>316</c:v>
                </c:pt>
                <c:pt idx="9">
                  <c:v>336</c:v>
                </c:pt>
                <c:pt idx="10">
                  <c:v>368</c:v>
                </c:pt>
                <c:pt idx="11">
                  <c:v>400</c:v>
                </c:pt>
                <c:pt idx="12">
                  <c:v>432</c:v>
                </c:pt>
                <c:pt idx="13">
                  <c:v>464</c:v>
                </c:pt>
                <c:pt idx="14">
                  <c:v>496</c:v>
                </c:pt>
                <c:pt idx="15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A-411B-A7CC-57414AB9B76E}"/>
            </c:ext>
          </c:extLst>
        </c:ser>
        <c:ser>
          <c:idx val="2"/>
          <c:order val="2"/>
          <c:tx>
            <c:strRef>
              <c:f>BE!$K$20</c:f>
              <c:strCache>
                <c:ptCount val="1"/>
                <c:pt idx="0">
                  <c:v>Known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BE!$K$21:$K$36</c:f>
              <c:numCache>
                <c:formatCode>General</c:formatCode>
                <c:ptCount val="16"/>
                <c:pt idx="0">
                  <c:v>25</c:v>
                </c:pt>
                <c:pt idx="1">
                  <c:v>77</c:v>
                </c:pt>
                <c:pt idx="2">
                  <c:v>87</c:v>
                </c:pt>
                <c:pt idx="3">
                  <c:v>145</c:v>
                </c:pt>
                <c:pt idx="4">
                  <c:v>168</c:v>
                </c:pt>
                <c:pt idx="5">
                  <c:v>341</c:v>
                </c:pt>
                <c:pt idx="6">
                  <c:v>362</c:v>
                </c:pt>
                <c:pt idx="7">
                  <c:v>395</c:v>
                </c:pt>
                <c:pt idx="8">
                  <c:v>415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A-411B-A7CC-57414AB9B76E}"/>
            </c:ext>
          </c:extLst>
        </c:ser>
        <c:ser>
          <c:idx val="3"/>
          <c:order val="3"/>
          <c:tx>
            <c:strRef>
              <c:f>BE!$L$20</c:f>
              <c:strCache>
                <c:ptCount val="1"/>
                <c:pt idx="0">
                  <c:v>Estimated Effort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BE!$L$21:$L$36</c:f>
              <c:numCache>
                <c:formatCode>General</c:formatCode>
                <c:ptCount val="16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437</c:v>
                </c:pt>
                <c:pt idx="5">
                  <c:v>437</c:v>
                </c:pt>
                <c:pt idx="6">
                  <c:v>437</c:v>
                </c:pt>
                <c:pt idx="7">
                  <c:v>445</c:v>
                </c:pt>
                <c:pt idx="8">
                  <c:v>445</c:v>
                </c:pt>
                <c:pt idx="9">
                  <c:v>445</c:v>
                </c:pt>
                <c:pt idx="10">
                  <c:v>445</c:v>
                </c:pt>
                <c:pt idx="11">
                  <c:v>445</c:v>
                </c:pt>
                <c:pt idx="12">
                  <c:v>445</c:v>
                </c:pt>
                <c:pt idx="13">
                  <c:v>445</c:v>
                </c:pt>
                <c:pt idx="14">
                  <c:v>445</c:v>
                </c:pt>
                <c:pt idx="15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A-411B-A7CC-57414AB9B76E}"/>
            </c:ext>
          </c:extLst>
        </c:ser>
        <c:ser>
          <c:idx val="4"/>
          <c:order val="4"/>
          <c:tx>
            <c:strRef>
              <c:f>BE!$M$20</c:f>
              <c:strCache>
                <c:ptCount val="1"/>
                <c:pt idx="0">
                  <c:v>Progress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BE!$M$21:$M$36</c:f>
              <c:numCache>
                <c:formatCode>General</c:formatCode>
                <c:ptCount val="16"/>
                <c:pt idx="0">
                  <c:v>10</c:v>
                </c:pt>
                <c:pt idx="1">
                  <c:v>20</c:v>
                </c:pt>
                <c:pt idx="2">
                  <c:v>35</c:v>
                </c:pt>
                <c:pt idx="3">
                  <c:v>50</c:v>
                </c:pt>
                <c:pt idx="4">
                  <c:v>80</c:v>
                </c:pt>
                <c:pt idx="5">
                  <c:v>118</c:v>
                </c:pt>
                <c:pt idx="6">
                  <c:v>160</c:v>
                </c:pt>
                <c:pt idx="7">
                  <c:v>200</c:v>
                </c:pt>
                <c:pt idx="8">
                  <c:v>240</c:v>
                </c:pt>
                <c:pt idx="9">
                  <c:v>280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A-411B-A7CC-57414AB9B76E}"/>
            </c:ext>
          </c:extLst>
        </c:ser>
        <c:ser>
          <c:idx val="5"/>
          <c:order val="5"/>
          <c:tx>
            <c:strRef>
              <c:f>BE!$N$20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BE!$F$21:$F$36</c:f>
              <c:strCache>
                <c:ptCount val="16"/>
                <c:pt idx="0">
                  <c:v>24.42</c:v>
                </c:pt>
                <c:pt idx="1">
                  <c:v>24.44</c:v>
                </c:pt>
                <c:pt idx="2">
                  <c:v>24.46</c:v>
                </c:pt>
                <c:pt idx="3">
                  <c:v>24.48</c:v>
                </c:pt>
                <c:pt idx="4">
                  <c:v>24.50</c:v>
                </c:pt>
                <c:pt idx="5">
                  <c:v>25.02</c:v>
                </c:pt>
                <c:pt idx="6">
                  <c:v>25.04</c:v>
                </c:pt>
                <c:pt idx="7">
                  <c:v>25.06</c:v>
                </c:pt>
                <c:pt idx="8">
                  <c:v>25.08</c:v>
                </c:pt>
                <c:pt idx="9">
                  <c:v>25.10</c:v>
                </c:pt>
                <c:pt idx="10">
                  <c:v>25.12</c:v>
                </c:pt>
                <c:pt idx="11">
                  <c:v>25.14</c:v>
                </c:pt>
                <c:pt idx="12">
                  <c:v>25.16</c:v>
                </c:pt>
                <c:pt idx="13">
                  <c:v>25.18</c:v>
                </c:pt>
                <c:pt idx="14">
                  <c:v>25.20</c:v>
                </c:pt>
                <c:pt idx="15">
                  <c:v>25.22</c:v>
                </c:pt>
              </c:strCache>
            </c:strRef>
          </c:cat>
          <c:val>
            <c:numRef>
              <c:f>BE!$N$21:$N$36</c:f>
              <c:numCache>
                <c:formatCode>General</c:formatCode>
                <c:ptCount val="16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280</c:v>
                </c:pt>
                <c:pt idx="10">
                  <c:v>330</c:v>
                </c:pt>
                <c:pt idx="11">
                  <c:v>385</c:v>
                </c:pt>
                <c:pt idx="12">
                  <c:v>427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DA-411B-A7CC-57414AB9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136384"/>
        <c:axId val="726133864"/>
      </c:lineChart>
      <c:catAx>
        <c:axId val="7261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3864"/>
        <c:crosses val="autoZero"/>
        <c:auto val="1"/>
        <c:lblAlgn val="ctr"/>
        <c:lblOffset val="100"/>
        <c:noMultiLvlLbl val="0"/>
      </c:catAx>
      <c:valAx>
        <c:axId val="72613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13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157375</xdr:colOff>
      <xdr:row>0</xdr:row>
      <xdr:rowOff>57980</xdr:rowOff>
    </xdr:from>
    <xdr:to>
      <xdr:col>9</xdr:col>
      <xdr:colOff>99390</xdr:colOff>
      <xdr:row>0</xdr:row>
      <xdr:rowOff>3072848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27C6A1-8F6B-4B9C-B0DE-C307F11E7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91114</xdr:colOff>
      <xdr:row>0</xdr:row>
      <xdr:rowOff>57979</xdr:rowOff>
    </xdr:from>
    <xdr:to>
      <xdr:col>16</xdr:col>
      <xdr:colOff>829327</xdr:colOff>
      <xdr:row>0</xdr:row>
      <xdr:rowOff>3075499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59799D-7431-4EBF-98B3-EA86F12C4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100011</xdr:colOff>
      <xdr:row>0</xdr:row>
      <xdr:rowOff>85726</xdr:rowOff>
    </xdr:from>
    <xdr:to>
      <xdr:col>8</xdr:col>
      <xdr:colOff>390524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E096B9-1B8B-65AD-0CF7-B8DF9C645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edium.com/@rodighm" TargetMode="External"/><Relationship Id="rId1" Type="http://schemas.openxmlformats.org/officeDocument/2006/relationships/hyperlink" Target="https://www.linkedin.com/in/michael-rodighier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82FD-2310-479D-860F-0C1D651EE34A}">
  <dimension ref="A1:XEJ43"/>
  <sheetViews>
    <sheetView tabSelected="1" zoomScale="115" zoomScaleNormal="115" workbookViewId="0">
      <pane xSplit="20" ySplit="37" topLeftCell="U64" activePane="bottomRight" state="frozen"/>
      <selection pane="topRight" activeCell="T1" sqref="T1"/>
      <selection pane="bottomLeft" activeCell="A38" sqref="A38"/>
      <selection pane="bottomRight" activeCell="R13" sqref="R13"/>
    </sheetView>
  </sheetViews>
  <sheetFormatPr defaultRowHeight="12" x14ac:dyDescent="0.2"/>
  <cols>
    <col min="1" max="1" width="5" style="23" customWidth="1"/>
    <col min="2" max="2" width="2.28515625" style="22" customWidth="1"/>
    <col min="3" max="3" width="17.5703125" style="89" customWidth="1"/>
    <col min="4" max="4" width="16.28515625" style="89" customWidth="1"/>
    <col min="5" max="5" width="2.5703125" style="89" customWidth="1"/>
    <col min="6" max="6" width="2.42578125" style="26" customWidth="1"/>
    <col min="7" max="7" width="21.5703125" style="90" customWidth="1"/>
    <col min="8" max="9" width="11.85546875" style="90" bestFit="1" customWidth="1"/>
    <col min="10" max="11" width="2.140625" style="24" customWidth="1"/>
    <col min="12" max="12" width="12.7109375" style="90" bestFit="1" customWidth="1"/>
    <col min="13" max="13" width="14" style="90" customWidth="1"/>
    <col min="14" max="16" width="15.140625" style="90" customWidth="1"/>
    <col min="17" max="17" width="15.140625" style="89" customWidth="1"/>
    <col min="18" max="18" width="4" style="23" customWidth="1"/>
    <col min="19" max="19" width="2.7109375" style="23" customWidth="1"/>
    <col min="20" max="16364" width="9.140625" style="23"/>
    <col min="16365" max="16384" width="9.140625" style="26"/>
  </cols>
  <sheetData>
    <row r="1" spans="2:19" s="23" customFormat="1" ht="255" customHeight="1" thickBot="1" x14ac:dyDescent="0.25">
      <c r="B1" s="22"/>
      <c r="C1" s="22"/>
      <c r="D1" s="22"/>
      <c r="E1" s="22"/>
      <c r="G1" s="24"/>
      <c r="H1" s="24"/>
      <c r="I1" s="24"/>
      <c r="J1" s="24"/>
      <c r="K1" s="24"/>
      <c r="L1" s="24"/>
      <c r="M1" s="24"/>
      <c r="N1" s="24"/>
      <c r="O1" s="24"/>
      <c r="P1" s="24"/>
      <c r="Q1" s="22"/>
    </row>
    <row r="2" spans="2:19" ht="33" customHeight="1" x14ac:dyDescent="0.2">
      <c r="B2" s="103" t="s">
        <v>9</v>
      </c>
      <c r="C2" s="104"/>
      <c r="D2" s="104"/>
      <c r="E2" s="104"/>
      <c r="F2" s="104"/>
      <c r="G2" s="104"/>
      <c r="H2" s="104"/>
      <c r="I2" s="104"/>
      <c r="J2" s="105"/>
      <c r="K2" s="106" t="s">
        <v>48</v>
      </c>
      <c r="L2" s="107"/>
      <c r="M2" s="107"/>
      <c r="N2" s="107"/>
      <c r="O2" s="107"/>
      <c r="P2" s="107"/>
      <c r="Q2" s="107"/>
      <c r="R2" s="98" t="s">
        <v>75</v>
      </c>
      <c r="S2" s="25"/>
    </row>
    <row r="3" spans="2:19" x14ac:dyDescent="0.2">
      <c r="B3" s="27"/>
      <c r="C3" s="28" t="s">
        <v>41</v>
      </c>
      <c r="D3" s="29" t="s">
        <v>11</v>
      </c>
      <c r="E3" s="30"/>
      <c r="F3" s="31"/>
      <c r="G3" s="32" t="s">
        <v>16</v>
      </c>
      <c r="H3" s="32" t="s">
        <v>30</v>
      </c>
      <c r="I3" s="33" t="s">
        <v>36</v>
      </c>
      <c r="J3" s="34"/>
      <c r="K3" s="35"/>
      <c r="L3" s="36" t="s">
        <v>44</v>
      </c>
      <c r="M3" s="36" t="s">
        <v>14</v>
      </c>
      <c r="N3" s="36" t="s">
        <v>46</v>
      </c>
      <c r="O3" s="36" t="s">
        <v>45</v>
      </c>
      <c r="P3" s="36" t="s">
        <v>47</v>
      </c>
      <c r="Q3" s="36" t="s">
        <v>51</v>
      </c>
      <c r="R3" s="99"/>
      <c r="S3" s="37"/>
    </row>
    <row r="4" spans="2:19" x14ac:dyDescent="0.2">
      <c r="B4" s="27"/>
      <c r="C4" s="38" t="s">
        <v>0</v>
      </c>
      <c r="D4" s="39">
        <v>8</v>
      </c>
      <c r="E4" s="40"/>
      <c r="F4" s="100" t="s">
        <v>25</v>
      </c>
      <c r="G4" s="30" t="s">
        <v>17</v>
      </c>
      <c r="H4" s="41">
        <v>45658</v>
      </c>
      <c r="I4" s="42">
        <v>0.25</v>
      </c>
      <c r="J4" s="34"/>
      <c r="K4" s="35"/>
      <c r="L4" s="43">
        <f>WORKDAY(Input!D14,9)</f>
        <v>45590</v>
      </c>
      <c r="M4" s="44" t="str">
        <f>IF(LEN(CONCATENATE(RIGHT(YEAR(L4),2),".",WEEKNUM(L4)-1))=5,CONCATENATE(RIGHT(YEAR(L4),2),".",WEEKNUM(L4)-1),CONCATENATE(RIGHT(YEAR(L4),2),".0",WEEKNUM(L4)-1))</f>
        <v>24.42</v>
      </c>
      <c r="N4" s="45">
        <v>500</v>
      </c>
      <c r="O4" s="45">
        <v>10</v>
      </c>
      <c r="P4" s="45">
        <v>25</v>
      </c>
      <c r="Q4" s="45">
        <v>2</v>
      </c>
      <c r="R4" s="46" t="s">
        <v>57</v>
      </c>
      <c r="S4" s="37"/>
    </row>
    <row r="5" spans="2:19" x14ac:dyDescent="0.2">
      <c r="B5" s="27"/>
      <c r="C5" s="47" t="s">
        <v>1</v>
      </c>
      <c r="D5" s="48">
        <v>0</v>
      </c>
      <c r="E5" s="40"/>
      <c r="F5" s="101"/>
      <c r="G5" s="49" t="s">
        <v>19</v>
      </c>
      <c r="H5" s="50">
        <v>45673</v>
      </c>
      <c r="I5" s="51">
        <v>0.95</v>
      </c>
      <c r="J5" s="52"/>
      <c r="K5" s="27"/>
      <c r="L5" s="53">
        <f>IF(WEEKNUM(L48+(7*Input!$D$16))=1,L4+28,L4+(7*Input!$D$16))</f>
        <v>45604</v>
      </c>
      <c r="M5" s="54" t="str">
        <f t="shared" ref="M5:M18" si="0">IF(LEN(CONCATENATE(RIGHT(YEAR(L5),2),".",WEEKNUM(L5)-1))=5,CONCATENATE(RIGHT(YEAR(L5),2),".",WEEKNUM(L5)-1),CONCATENATE(RIGHT(YEAR(L5),2),".0",WEEKNUM(L5)-1))</f>
        <v>24.44</v>
      </c>
      <c r="N5" s="55">
        <v>500</v>
      </c>
      <c r="O5" s="55">
        <v>10</v>
      </c>
      <c r="P5" s="55">
        <v>77</v>
      </c>
      <c r="Q5" s="55">
        <v>5</v>
      </c>
      <c r="R5" s="56" t="s">
        <v>56</v>
      </c>
      <c r="S5" s="37"/>
    </row>
    <row r="6" spans="2:19" x14ac:dyDescent="0.2">
      <c r="B6" s="27"/>
      <c r="C6" s="47" t="s">
        <v>3</v>
      </c>
      <c r="D6" s="48">
        <v>0</v>
      </c>
      <c r="E6" s="40"/>
      <c r="F6" s="101"/>
      <c r="G6" s="49" t="s">
        <v>18</v>
      </c>
      <c r="H6" s="50">
        <v>45702</v>
      </c>
      <c r="I6" s="51">
        <v>0.95</v>
      </c>
      <c r="J6" s="34"/>
      <c r="K6" s="35"/>
      <c r="L6" s="53">
        <f>IF(WEEKNUM(L49+(7*Input!$D$16))=1,L5+28,L5+(7*Input!$D$16))</f>
        <v>45618</v>
      </c>
      <c r="M6" s="54" t="str">
        <f t="shared" si="0"/>
        <v>24.46</v>
      </c>
      <c r="N6" s="55">
        <v>500</v>
      </c>
      <c r="O6" s="55">
        <v>15</v>
      </c>
      <c r="P6" s="55">
        <v>87</v>
      </c>
      <c r="Q6" s="55">
        <v>15</v>
      </c>
      <c r="R6" s="56" t="s">
        <v>56</v>
      </c>
      <c r="S6" s="37"/>
    </row>
    <row r="7" spans="2:19" x14ac:dyDescent="0.2">
      <c r="B7" s="27"/>
      <c r="C7" s="47" t="s">
        <v>4</v>
      </c>
      <c r="D7" s="48">
        <v>0</v>
      </c>
      <c r="E7" s="40"/>
      <c r="F7" s="101"/>
      <c r="G7" s="49" t="s">
        <v>27</v>
      </c>
      <c r="H7" s="50">
        <v>45696</v>
      </c>
      <c r="I7" s="51">
        <v>0.5</v>
      </c>
      <c r="J7" s="34"/>
      <c r="K7" s="35"/>
      <c r="L7" s="53">
        <f>IF(WEEKNUM(L50+(7*Input!$D$16))=1,L6+28,L6+(7*Input!$D$16))</f>
        <v>45632</v>
      </c>
      <c r="M7" s="54" t="str">
        <f t="shared" si="0"/>
        <v>24.48</v>
      </c>
      <c r="N7" s="55">
        <v>500</v>
      </c>
      <c r="O7" s="55">
        <v>15</v>
      </c>
      <c r="P7" s="55">
        <v>145</v>
      </c>
      <c r="Q7" s="55">
        <v>15</v>
      </c>
      <c r="R7" s="56" t="s">
        <v>56</v>
      </c>
      <c r="S7" s="37"/>
    </row>
    <row r="8" spans="2:19" x14ac:dyDescent="0.2">
      <c r="B8" s="27"/>
      <c r="C8" s="47" t="s">
        <v>5</v>
      </c>
      <c r="D8" s="48">
        <v>0</v>
      </c>
      <c r="E8" s="40"/>
      <c r="F8" s="101"/>
      <c r="G8" s="49" t="s">
        <v>20</v>
      </c>
      <c r="H8" s="50">
        <v>45743</v>
      </c>
      <c r="I8" s="51">
        <v>0.8</v>
      </c>
      <c r="J8" s="34"/>
      <c r="K8" s="35"/>
      <c r="L8" s="53">
        <f>IF(WEEKNUM(L51+(7*Input!$D$16))=1,L7+28,L7+(7*Input!$D$16))</f>
        <v>45646</v>
      </c>
      <c r="M8" s="54" t="str">
        <f t="shared" si="0"/>
        <v>24.50</v>
      </c>
      <c r="N8" s="55">
        <v>437</v>
      </c>
      <c r="O8" s="55">
        <v>30</v>
      </c>
      <c r="P8" s="55">
        <v>168</v>
      </c>
      <c r="Q8" s="55">
        <v>30</v>
      </c>
      <c r="R8" s="56" t="s">
        <v>56</v>
      </c>
      <c r="S8" s="37"/>
    </row>
    <row r="9" spans="2:19" x14ac:dyDescent="0.2">
      <c r="B9" s="27"/>
      <c r="C9" s="47" t="s">
        <v>6</v>
      </c>
      <c r="D9" s="48">
        <v>0</v>
      </c>
      <c r="E9" s="40"/>
      <c r="F9" s="101"/>
      <c r="G9" s="49" t="s">
        <v>21</v>
      </c>
      <c r="H9" s="50">
        <v>45808</v>
      </c>
      <c r="I9" s="51">
        <v>0.95</v>
      </c>
      <c r="J9" s="34"/>
      <c r="K9" s="35"/>
      <c r="L9" s="53">
        <f>IF(WEEKNUM(L52+(7*Input!$D$16))=1,L8+28,L8+(7*Input!$D$16))</f>
        <v>45660</v>
      </c>
      <c r="M9" s="54" t="str">
        <f t="shared" si="0"/>
        <v>25.00</v>
      </c>
      <c r="N9" s="55">
        <v>437</v>
      </c>
      <c r="O9" s="55">
        <v>21</v>
      </c>
      <c r="P9" s="55">
        <v>241</v>
      </c>
      <c r="Q9" s="55">
        <v>21</v>
      </c>
      <c r="R9" s="56" t="s">
        <v>56</v>
      </c>
      <c r="S9" s="37"/>
    </row>
    <row r="10" spans="2:19" x14ac:dyDescent="0.2">
      <c r="B10" s="27"/>
      <c r="C10" s="57" t="s">
        <v>7</v>
      </c>
      <c r="D10" s="58">
        <v>0</v>
      </c>
      <c r="E10" s="40"/>
      <c r="F10" s="101"/>
      <c r="G10" s="49" t="s">
        <v>24</v>
      </c>
      <c r="H10" s="50">
        <v>45842</v>
      </c>
      <c r="I10" s="51">
        <v>0.8</v>
      </c>
      <c r="J10" s="34"/>
      <c r="K10" s="35"/>
      <c r="L10" s="53">
        <f>IF(WEEKNUM(L53+(7*Input!$D$16))=1,L9+28,L9+(7*Input!$D$16))</f>
        <v>45674</v>
      </c>
      <c r="M10" s="54" t="str">
        <f t="shared" si="0"/>
        <v>25.02</v>
      </c>
      <c r="N10" s="55">
        <v>437</v>
      </c>
      <c r="O10" s="55">
        <v>38</v>
      </c>
      <c r="P10" s="55">
        <v>341</v>
      </c>
      <c r="Q10" s="55">
        <v>36</v>
      </c>
      <c r="R10" s="56" t="s">
        <v>56</v>
      </c>
      <c r="S10" s="37"/>
    </row>
    <row r="11" spans="2:19" x14ac:dyDescent="0.2">
      <c r="B11" s="27"/>
      <c r="C11" s="59"/>
      <c r="D11" s="40" t="s">
        <v>32</v>
      </c>
      <c r="E11" s="40"/>
      <c r="F11" s="101"/>
      <c r="G11" s="49" t="s">
        <v>22</v>
      </c>
      <c r="H11" s="50">
        <v>45904</v>
      </c>
      <c r="I11" s="51">
        <v>0.8</v>
      </c>
      <c r="J11" s="34"/>
      <c r="K11" s="35"/>
      <c r="L11" s="53">
        <f>IF(WEEKNUM(L54+(7*Input!$D$16))=1,L10+28,L10+(7*Input!$D$16))</f>
        <v>45688</v>
      </c>
      <c r="M11" s="54" t="str">
        <f t="shared" si="0"/>
        <v>25.04</v>
      </c>
      <c r="N11" s="55">
        <v>437</v>
      </c>
      <c r="O11" s="55">
        <v>42</v>
      </c>
      <c r="P11" s="55">
        <v>362</v>
      </c>
      <c r="Q11" s="55">
        <v>35</v>
      </c>
      <c r="R11" s="56" t="s">
        <v>56</v>
      </c>
      <c r="S11" s="37"/>
    </row>
    <row r="12" spans="2:19" x14ac:dyDescent="0.2">
      <c r="B12" s="27"/>
      <c r="C12" s="60" t="s">
        <v>33</v>
      </c>
      <c r="D12" s="61">
        <v>5</v>
      </c>
      <c r="E12" s="40"/>
      <c r="F12" s="102"/>
      <c r="G12" s="62" t="s">
        <v>23</v>
      </c>
      <c r="H12" s="63">
        <v>45987</v>
      </c>
      <c r="I12" s="64">
        <v>0.5</v>
      </c>
      <c r="J12" s="34"/>
      <c r="K12" s="35"/>
      <c r="L12" s="53">
        <f>IF(WEEKNUM(L55+(7*Input!$D$16))=1,L11+28,L11+(7*Input!$D$16))</f>
        <v>45702</v>
      </c>
      <c r="M12" s="54" t="str">
        <f t="shared" si="0"/>
        <v>25.06</v>
      </c>
      <c r="N12" s="55">
        <v>445</v>
      </c>
      <c r="O12" s="55">
        <v>40</v>
      </c>
      <c r="P12" s="55">
        <v>395</v>
      </c>
      <c r="Q12" s="55">
        <v>40</v>
      </c>
      <c r="R12" s="56" t="s">
        <v>56</v>
      </c>
      <c r="S12" s="37"/>
    </row>
    <row r="13" spans="2:19" ht="12.75" customHeight="1" x14ac:dyDescent="0.2">
      <c r="B13" s="27"/>
      <c r="C13" s="59"/>
      <c r="D13" s="65"/>
      <c r="E13" s="66"/>
      <c r="F13" s="108" t="s">
        <v>40</v>
      </c>
      <c r="G13" s="49" t="s">
        <v>34</v>
      </c>
      <c r="H13" s="50">
        <v>45692</v>
      </c>
      <c r="I13" s="51">
        <v>0.95</v>
      </c>
      <c r="J13" s="34"/>
      <c r="K13" s="35"/>
      <c r="L13" s="53">
        <f>IF(WEEKNUM(L56+(7*Input!$D$16))=1,L12+28,L12+(7*Input!$D$16))</f>
        <v>45716</v>
      </c>
      <c r="M13" s="54" t="str">
        <f t="shared" si="0"/>
        <v>25.08</v>
      </c>
      <c r="N13" s="55">
        <f>N12</f>
        <v>445</v>
      </c>
      <c r="O13" s="55">
        <v>40</v>
      </c>
      <c r="P13" s="55">
        <v>415</v>
      </c>
      <c r="Q13" s="55">
        <v>42</v>
      </c>
      <c r="R13" s="56" t="s">
        <v>54</v>
      </c>
      <c r="S13" s="37"/>
    </row>
    <row r="14" spans="2:19" x14ac:dyDescent="0.2">
      <c r="B14" s="27"/>
      <c r="C14" s="67" t="s">
        <v>10</v>
      </c>
      <c r="D14" s="68">
        <v>45579</v>
      </c>
      <c r="E14" s="65"/>
      <c r="F14" s="109"/>
      <c r="G14" s="49" t="s">
        <v>26</v>
      </c>
      <c r="H14" s="50">
        <v>45752</v>
      </c>
      <c r="I14" s="51">
        <v>0.95</v>
      </c>
      <c r="J14" s="34"/>
      <c r="K14" s="35"/>
      <c r="L14" s="53">
        <f>IF(WEEKNUM(L57+(7*Input!$D$16))=1,L13+28,L13+(7*Input!$D$16))</f>
        <v>45730</v>
      </c>
      <c r="M14" s="54" t="str">
        <f t="shared" si="0"/>
        <v>25.10</v>
      </c>
      <c r="N14" s="55">
        <f t="shared" ref="N14" si="1">N13</f>
        <v>445</v>
      </c>
      <c r="O14" s="55">
        <v>40</v>
      </c>
      <c r="P14" s="55"/>
      <c r="Q14" s="55">
        <v>40</v>
      </c>
      <c r="R14" s="56" t="s">
        <v>54</v>
      </c>
      <c r="S14" s="37"/>
    </row>
    <row r="15" spans="2:19" x14ac:dyDescent="0.2">
      <c r="B15" s="27"/>
      <c r="C15" s="69" t="s">
        <v>53</v>
      </c>
      <c r="D15" s="70">
        <v>45793</v>
      </c>
      <c r="E15" s="65"/>
      <c r="F15" s="109"/>
      <c r="G15" s="49" t="s">
        <v>35</v>
      </c>
      <c r="H15" s="50">
        <v>45794</v>
      </c>
      <c r="I15" s="51">
        <v>0.95</v>
      </c>
      <c r="J15" s="34"/>
      <c r="K15" s="35"/>
      <c r="L15" s="53">
        <f>IF(WEEKNUM(L58+(7*Input!$D$16))=1,L14+28,L14+(7*Input!$D$16))</f>
        <v>45744</v>
      </c>
      <c r="M15" s="54" t="str">
        <f t="shared" si="0"/>
        <v>25.12</v>
      </c>
      <c r="N15" s="55">
        <f>N14</f>
        <v>445</v>
      </c>
      <c r="O15" s="55"/>
      <c r="P15" s="55"/>
      <c r="Q15" s="55">
        <v>50</v>
      </c>
      <c r="R15" s="56" t="s">
        <v>54</v>
      </c>
      <c r="S15" s="37"/>
    </row>
    <row r="16" spans="2:19" x14ac:dyDescent="0.2">
      <c r="B16" s="27"/>
      <c r="C16" s="71" t="s">
        <v>12</v>
      </c>
      <c r="D16" s="58">
        <v>2</v>
      </c>
      <c r="E16" s="65"/>
      <c r="F16" s="109"/>
      <c r="G16" s="49" t="s">
        <v>28</v>
      </c>
      <c r="H16" s="50">
        <v>45905</v>
      </c>
      <c r="I16" s="51">
        <v>0.95</v>
      </c>
      <c r="J16" s="34"/>
      <c r="K16" s="35"/>
      <c r="L16" s="53">
        <f>IF(WEEKNUM(L59+(7*Input!$D$16))=1,L15+28,L15+(7*Input!$D$16))</f>
        <v>45758</v>
      </c>
      <c r="M16" s="54" t="str">
        <f t="shared" si="0"/>
        <v>25.14</v>
      </c>
      <c r="N16" s="55">
        <f>N15</f>
        <v>445</v>
      </c>
      <c r="O16" s="55"/>
      <c r="P16" s="55"/>
      <c r="Q16" s="55">
        <v>55</v>
      </c>
      <c r="R16" s="56" t="s">
        <v>54</v>
      </c>
      <c r="S16" s="37"/>
    </row>
    <row r="17" spans="2:19" x14ac:dyDescent="0.2">
      <c r="B17" s="27"/>
      <c r="C17" s="59"/>
      <c r="D17" s="65"/>
      <c r="E17" s="65"/>
      <c r="F17" s="109"/>
      <c r="G17" s="49" t="s">
        <v>73</v>
      </c>
      <c r="H17" s="50">
        <v>45930</v>
      </c>
      <c r="I17" s="51">
        <v>0.95</v>
      </c>
      <c r="J17" s="34"/>
      <c r="K17" s="35"/>
      <c r="L17" s="53">
        <f>IF(WEEKNUM(L60+(7*Input!$D$16))=1,L16+28,L16+(7*Input!$D$16))</f>
        <v>45772</v>
      </c>
      <c r="M17" s="54" t="str">
        <f t="shared" si="0"/>
        <v>25.16</v>
      </c>
      <c r="N17" s="55">
        <f>N16</f>
        <v>445</v>
      </c>
      <c r="O17" s="55"/>
      <c r="P17" s="55"/>
      <c r="Q17" s="55">
        <v>42</v>
      </c>
      <c r="R17" s="56" t="s">
        <v>54</v>
      </c>
      <c r="S17" s="37"/>
    </row>
    <row r="18" spans="2:19" x14ac:dyDescent="0.2">
      <c r="B18" s="27"/>
      <c r="C18" s="59"/>
      <c r="D18" s="65"/>
      <c r="E18" s="65"/>
      <c r="F18" s="109"/>
      <c r="G18" s="49" t="s">
        <v>29</v>
      </c>
      <c r="H18" s="50">
        <v>45651</v>
      </c>
      <c r="I18" s="51">
        <v>0.75</v>
      </c>
      <c r="J18" s="34"/>
      <c r="K18" s="35"/>
      <c r="L18" s="53">
        <f>IF(WEEKNUM(L61+(7*Input!$D$16))=1,L17+28,L17+(7*Input!$D$16))</f>
        <v>45786</v>
      </c>
      <c r="M18" s="54" t="str">
        <f t="shared" si="0"/>
        <v>25.18</v>
      </c>
      <c r="N18" s="55">
        <f>N17</f>
        <v>445</v>
      </c>
      <c r="O18" s="55"/>
      <c r="P18" s="55"/>
      <c r="Q18" s="55"/>
      <c r="R18" s="56" t="s">
        <v>56</v>
      </c>
      <c r="S18" s="37"/>
    </row>
    <row r="19" spans="2:19" x14ac:dyDescent="0.2">
      <c r="B19" s="27"/>
      <c r="C19" s="59"/>
      <c r="D19" s="65"/>
      <c r="E19" s="65"/>
      <c r="F19" s="109"/>
      <c r="G19" s="49" t="s">
        <v>61</v>
      </c>
      <c r="H19" s="50">
        <v>45724</v>
      </c>
      <c r="I19" s="51">
        <v>0.75</v>
      </c>
      <c r="J19" s="34"/>
      <c r="K19" s="35"/>
      <c r="L19" s="53">
        <f>IF(WEEKNUM(L62+(7*Input!$D$16))=1,L18+28,L18+(7*Input!$D$16))</f>
        <v>45800</v>
      </c>
      <c r="M19" s="54" t="str">
        <f t="shared" ref="M19:M31" si="2">IF(LEN(CONCATENATE(RIGHT(YEAR(L19),2),".",WEEKNUM(L19)-1))=5,CONCATENATE(RIGHT(YEAR(L19),2),".",WEEKNUM(L19)-1),CONCATENATE(RIGHT(YEAR(L19),2),".0",WEEKNUM(L19)-1))</f>
        <v>25.20</v>
      </c>
      <c r="N19" s="55">
        <f t="shared" ref="N19:N31" si="3">N18</f>
        <v>445</v>
      </c>
      <c r="O19" s="55"/>
      <c r="P19" s="55"/>
      <c r="Q19" s="55"/>
      <c r="R19" s="56" t="s">
        <v>56</v>
      </c>
      <c r="S19" s="37"/>
    </row>
    <row r="20" spans="2:19" x14ac:dyDescent="0.2">
      <c r="B20" s="27"/>
      <c r="C20" s="59"/>
      <c r="D20" s="65"/>
      <c r="E20" s="65"/>
      <c r="F20" s="109"/>
      <c r="G20" s="49" t="s">
        <v>64</v>
      </c>
      <c r="H20" s="50">
        <v>45726</v>
      </c>
      <c r="I20" s="51">
        <v>0.85</v>
      </c>
      <c r="J20" s="34"/>
      <c r="K20" s="35"/>
      <c r="L20" s="53">
        <f>IF(WEEKNUM(L63+(7*Input!$D$16))=1,L19+28,L19+(7*Input!$D$16))</f>
        <v>45814</v>
      </c>
      <c r="M20" s="54" t="str">
        <f t="shared" si="2"/>
        <v>25.22</v>
      </c>
      <c r="N20" s="55">
        <f t="shared" si="3"/>
        <v>445</v>
      </c>
      <c r="O20" s="55"/>
      <c r="P20" s="55"/>
      <c r="Q20" s="55"/>
      <c r="R20" s="56" t="s">
        <v>56</v>
      </c>
      <c r="S20" s="37"/>
    </row>
    <row r="21" spans="2:19" x14ac:dyDescent="0.2">
      <c r="B21" s="27"/>
      <c r="C21" s="59"/>
      <c r="D21" s="65"/>
      <c r="E21" s="65"/>
      <c r="F21" s="109"/>
      <c r="G21" s="49" t="s">
        <v>62</v>
      </c>
      <c r="H21" s="50">
        <v>45731</v>
      </c>
      <c r="I21" s="51">
        <v>0.95</v>
      </c>
      <c r="J21" s="34"/>
      <c r="K21" s="35"/>
      <c r="L21" s="53">
        <f>IF(WEEKNUM(L64+(7*Input!$D$16))=1,L20+28,L20+(7*Input!$D$16))</f>
        <v>45828</v>
      </c>
      <c r="M21" s="54" t="str">
        <f t="shared" si="2"/>
        <v>25.24</v>
      </c>
      <c r="N21" s="55">
        <f t="shared" si="3"/>
        <v>445</v>
      </c>
      <c r="O21" s="55"/>
      <c r="P21" s="55"/>
      <c r="Q21" s="55"/>
      <c r="R21" s="56" t="s">
        <v>56</v>
      </c>
      <c r="S21" s="37"/>
    </row>
    <row r="22" spans="2:19" x14ac:dyDescent="0.2">
      <c r="B22" s="27"/>
      <c r="C22" s="59"/>
      <c r="D22" s="65"/>
      <c r="E22" s="65"/>
      <c r="F22" s="109"/>
      <c r="G22" s="49" t="s">
        <v>63</v>
      </c>
      <c r="H22" s="50">
        <v>45756</v>
      </c>
      <c r="I22" s="51">
        <v>0.85</v>
      </c>
      <c r="J22" s="34"/>
      <c r="K22" s="35"/>
      <c r="L22" s="53">
        <f>IF(WEEKNUM(L65+(7*Input!$D$16))=1,L21+28,L21+(7*Input!$D$16))</f>
        <v>45842</v>
      </c>
      <c r="M22" s="54" t="str">
        <f t="shared" si="2"/>
        <v>25.26</v>
      </c>
      <c r="N22" s="55">
        <f t="shared" si="3"/>
        <v>445</v>
      </c>
      <c r="O22" s="55"/>
      <c r="P22" s="55"/>
      <c r="Q22" s="55"/>
      <c r="R22" s="56" t="s">
        <v>56</v>
      </c>
      <c r="S22" s="37"/>
    </row>
    <row r="23" spans="2:19" x14ac:dyDescent="0.2">
      <c r="B23" s="27"/>
      <c r="C23" s="59"/>
      <c r="D23" s="65"/>
      <c r="E23" s="65"/>
      <c r="F23" s="109"/>
      <c r="G23" s="49" t="s">
        <v>65</v>
      </c>
      <c r="H23" s="50">
        <v>45757</v>
      </c>
      <c r="I23" s="51">
        <v>0.85</v>
      </c>
      <c r="J23" s="34"/>
      <c r="K23" s="35"/>
      <c r="L23" s="53">
        <f>IF(WEEKNUM(L66+(7*Input!$D$16))=1,L22+28,L22+(7*Input!$D$16))</f>
        <v>45856</v>
      </c>
      <c r="M23" s="54" t="str">
        <f t="shared" si="2"/>
        <v>25.28</v>
      </c>
      <c r="N23" s="55">
        <f t="shared" si="3"/>
        <v>445</v>
      </c>
      <c r="O23" s="55"/>
      <c r="P23" s="55"/>
      <c r="Q23" s="55"/>
      <c r="R23" s="56" t="s">
        <v>56</v>
      </c>
      <c r="S23" s="37"/>
    </row>
    <row r="24" spans="2:19" x14ac:dyDescent="0.2">
      <c r="B24" s="27"/>
      <c r="C24" s="59"/>
      <c r="D24" s="65"/>
      <c r="E24" s="65"/>
      <c r="F24" s="109"/>
      <c r="G24" s="49" t="s">
        <v>66</v>
      </c>
      <c r="H24" s="50">
        <v>45769</v>
      </c>
      <c r="I24" s="51">
        <v>0.95</v>
      </c>
      <c r="J24" s="34"/>
      <c r="K24" s="35"/>
      <c r="L24" s="53">
        <f>IF(WEEKNUM(L67+(7*Input!$D$16))=1,L23+28,L23+(7*Input!$D$16))</f>
        <v>45870</v>
      </c>
      <c r="M24" s="54" t="str">
        <f t="shared" si="2"/>
        <v>25.30</v>
      </c>
      <c r="N24" s="55">
        <f t="shared" si="3"/>
        <v>445</v>
      </c>
      <c r="O24" s="55"/>
      <c r="P24" s="55"/>
      <c r="Q24" s="55"/>
      <c r="R24" s="56" t="s">
        <v>56</v>
      </c>
      <c r="S24" s="37"/>
    </row>
    <row r="25" spans="2:19" x14ac:dyDescent="0.2">
      <c r="B25" s="27"/>
      <c r="C25" s="59"/>
      <c r="D25" s="65"/>
      <c r="E25" s="65"/>
      <c r="F25" s="109"/>
      <c r="G25" s="49" t="s">
        <v>67</v>
      </c>
      <c r="H25" s="50">
        <v>45777</v>
      </c>
      <c r="I25" s="51">
        <v>0.95</v>
      </c>
      <c r="J25" s="34"/>
      <c r="K25" s="35"/>
      <c r="L25" s="53">
        <f>IF(WEEKNUM(L68+(7*Input!$D$16))=1,L24+28,L24+(7*Input!$D$16))</f>
        <v>45884</v>
      </c>
      <c r="M25" s="54" t="str">
        <f t="shared" si="2"/>
        <v>25.32</v>
      </c>
      <c r="N25" s="55">
        <f t="shared" si="3"/>
        <v>445</v>
      </c>
      <c r="O25" s="55"/>
      <c r="P25" s="55"/>
      <c r="Q25" s="55"/>
      <c r="R25" s="56" t="s">
        <v>56</v>
      </c>
      <c r="S25" s="37"/>
    </row>
    <row r="26" spans="2:19" x14ac:dyDescent="0.2">
      <c r="B26" s="27"/>
      <c r="C26" s="59"/>
      <c r="D26" s="65"/>
      <c r="E26" s="65"/>
      <c r="F26" s="109"/>
      <c r="G26" s="49" t="s">
        <v>68</v>
      </c>
      <c r="H26" s="50">
        <v>45819</v>
      </c>
      <c r="I26" s="51">
        <v>0.95</v>
      </c>
      <c r="J26" s="34"/>
      <c r="K26" s="35"/>
      <c r="L26" s="53">
        <f>IF(WEEKNUM(L69+(7*Input!$D$16))=1,L25+28,L25+(7*Input!$D$16))</f>
        <v>45898</v>
      </c>
      <c r="M26" s="54" t="str">
        <f t="shared" si="2"/>
        <v>25.34</v>
      </c>
      <c r="N26" s="55">
        <f t="shared" si="3"/>
        <v>445</v>
      </c>
      <c r="O26" s="55"/>
      <c r="P26" s="55"/>
      <c r="Q26" s="55"/>
      <c r="R26" s="56" t="s">
        <v>56</v>
      </c>
      <c r="S26" s="37"/>
    </row>
    <row r="27" spans="2:19" x14ac:dyDescent="0.2">
      <c r="B27" s="27"/>
      <c r="C27" s="59"/>
      <c r="D27" s="65"/>
      <c r="E27" s="65"/>
      <c r="F27" s="109"/>
      <c r="G27" s="49" t="s">
        <v>69</v>
      </c>
      <c r="H27" s="50">
        <v>45824</v>
      </c>
      <c r="I27" s="51">
        <v>0.85</v>
      </c>
      <c r="J27" s="34"/>
      <c r="K27" s="35"/>
      <c r="L27" s="53">
        <f>IF(WEEKNUM(L70+(7*Input!$D$16))=1,L26+28,L26+(7*Input!$D$16))</f>
        <v>45912</v>
      </c>
      <c r="M27" s="54" t="str">
        <f t="shared" si="2"/>
        <v>25.36</v>
      </c>
      <c r="N27" s="55">
        <f t="shared" si="3"/>
        <v>445</v>
      </c>
      <c r="O27" s="55"/>
      <c r="P27" s="55"/>
      <c r="Q27" s="55"/>
      <c r="R27" s="56" t="s">
        <v>56</v>
      </c>
      <c r="S27" s="37"/>
    </row>
    <row r="28" spans="2:19" x14ac:dyDescent="0.2">
      <c r="B28" s="27"/>
      <c r="C28" s="59"/>
      <c r="D28" s="65"/>
      <c r="E28" s="65"/>
      <c r="F28" s="109"/>
      <c r="G28" s="49" t="s">
        <v>70</v>
      </c>
      <c r="H28" s="50">
        <v>45854</v>
      </c>
      <c r="I28" s="51">
        <v>0.85</v>
      </c>
      <c r="J28" s="34"/>
      <c r="K28" s="35"/>
      <c r="L28" s="53">
        <f>IF(WEEKNUM(L71+(7*Input!$D$16))=1,L27+28,L27+(7*Input!$D$16))</f>
        <v>45926</v>
      </c>
      <c r="M28" s="54" t="str">
        <f t="shared" si="2"/>
        <v>25.38</v>
      </c>
      <c r="N28" s="55">
        <f t="shared" si="3"/>
        <v>445</v>
      </c>
      <c r="O28" s="55"/>
      <c r="P28" s="55"/>
      <c r="Q28" s="55"/>
      <c r="R28" s="56" t="s">
        <v>56</v>
      </c>
      <c r="S28" s="37"/>
    </row>
    <row r="29" spans="2:19" x14ac:dyDescent="0.2">
      <c r="B29" s="27"/>
      <c r="C29" s="59"/>
      <c r="D29" s="65"/>
      <c r="E29" s="65"/>
      <c r="F29" s="109"/>
      <c r="G29" s="49" t="s">
        <v>71</v>
      </c>
      <c r="H29" s="50">
        <v>45895</v>
      </c>
      <c r="I29" s="51">
        <v>0.75</v>
      </c>
      <c r="J29" s="34"/>
      <c r="K29" s="35"/>
      <c r="L29" s="53">
        <f>IF(WEEKNUM(L72+(7*Input!$D$16))=1,L28+28,L28+(7*Input!$D$16))</f>
        <v>45940</v>
      </c>
      <c r="M29" s="54" t="str">
        <f t="shared" si="2"/>
        <v>25.40</v>
      </c>
      <c r="N29" s="55">
        <f t="shared" si="3"/>
        <v>445</v>
      </c>
      <c r="O29" s="55"/>
      <c r="P29" s="55"/>
      <c r="Q29" s="55"/>
      <c r="R29" s="56" t="s">
        <v>56</v>
      </c>
      <c r="S29" s="37"/>
    </row>
    <row r="30" spans="2:19" x14ac:dyDescent="0.2">
      <c r="B30" s="27"/>
      <c r="C30" s="59"/>
      <c r="D30" s="65"/>
      <c r="E30" s="65"/>
      <c r="F30" s="109"/>
      <c r="G30" s="49" t="s">
        <v>72</v>
      </c>
      <c r="H30" s="50">
        <v>45915</v>
      </c>
      <c r="I30" s="51">
        <v>0.85</v>
      </c>
      <c r="J30" s="34"/>
      <c r="K30" s="35"/>
      <c r="L30" s="53">
        <f>IF(WEEKNUM(L73+(7*Input!$D$16))=1,L29+28,L29+(7*Input!$D$16))</f>
        <v>45954</v>
      </c>
      <c r="M30" s="54" t="str">
        <f t="shared" si="2"/>
        <v>25.42</v>
      </c>
      <c r="N30" s="55">
        <f t="shared" si="3"/>
        <v>445</v>
      </c>
      <c r="O30" s="55"/>
      <c r="P30" s="55"/>
      <c r="Q30" s="55"/>
      <c r="R30" s="56" t="s">
        <v>56</v>
      </c>
      <c r="S30" s="37"/>
    </row>
    <row r="31" spans="2:19" x14ac:dyDescent="0.2">
      <c r="B31" s="27"/>
      <c r="C31" s="72"/>
      <c r="D31" s="73"/>
      <c r="E31" s="73"/>
      <c r="F31" s="110"/>
      <c r="G31" s="62" t="s">
        <v>74</v>
      </c>
      <c r="H31" s="63">
        <v>45976</v>
      </c>
      <c r="I31" s="64">
        <v>0.95</v>
      </c>
      <c r="J31" s="34"/>
      <c r="K31" s="35"/>
      <c r="L31" s="74">
        <f>IF(WEEKNUM(L74+(7*Input!$D$16))=1,L30+28,L30+(7*Input!$D$16))</f>
        <v>45968</v>
      </c>
      <c r="M31" s="75" t="str">
        <f t="shared" si="2"/>
        <v>25.44</v>
      </c>
      <c r="N31" s="76">
        <f t="shared" si="3"/>
        <v>445</v>
      </c>
      <c r="O31" s="76"/>
      <c r="P31" s="76"/>
      <c r="Q31" s="76"/>
      <c r="R31" s="77" t="s">
        <v>56</v>
      </c>
      <c r="S31" s="37"/>
    </row>
    <row r="32" spans="2:19" ht="12.75" thickBot="1" x14ac:dyDescent="0.25">
      <c r="B32" s="27"/>
      <c r="C32" s="65"/>
      <c r="D32" s="65"/>
      <c r="E32" s="65"/>
      <c r="F32" s="92"/>
      <c r="G32" s="91"/>
      <c r="H32" s="91"/>
      <c r="I32" s="91"/>
      <c r="J32" s="34"/>
      <c r="K32" s="35"/>
      <c r="L32" s="93"/>
      <c r="M32" s="54"/>
      <c r="N32" s="94"/>
      <c r="O32" s="94"/>
      <c r="P32" s="94"/>
      <c r="Q32" s="94"/>
      <c r="R32" s="95"/>
      <c r="S32" s="37"/>
    </row>
    <row r="33" spans="2:19" s="23" customFormat="1" x14ac:dyDescent="0.2">
      <c r="B33" s="78"/>
      <c r="C33" s="79" t="s">
        <v>76</v>
      </c>
      <c r="D33" s="80"/>
      <c r="E33" s="80"/>
      <c r="F33" s="81"/>
      <c r="G33" s="96" t="s">
        <v>59</v>
      </c>
      <c r="H33" s="97" t="s">
        <v>60</v>
      </c>
      <c r="I33" s="82"/>
      <c r="J33" s="82"/>
      <c r="K33" s="82"/>
      <c r="L33" s="82"/>
      <c r="M33" s="82"/>
      <c r="N33" s="82"/>
      <c r="O33" s="82"/>
      <c r="P33" s="82"/>
      <c r="Q33" s="80"/>
      <c r="R33" s="81"/>
      <c r="S33" s="83"/>
    </row>
    <row r="34" spans="2:19" s="23" customFormat="1" ht="12.75" thickBot="1" x14ac:dyDescent="0.25">
      <c r="B34" s="84"/>
      <c r="C34" s="85" t="s">
        <v>58</v>
      </c>
      <c r="D34" s="85"/>
      <c r="E34" s="85"/>
      <c r="F34" s="86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5"/>
      <c r="R34" s="86"/>
      <c r="S34" s="88"/>
    </row>
    <row r="35" spans="2:19" s="23" customFormat="1" x14ac:dyDescent="0.2">
      <c r="B35" s="22"/>
      <c r="C35" s="22"/>
      <c r="D35" s="22"/>
      <c r="E35" s="22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</row>
    <row r="36" spans="2:19" s="23" customFormat="1" x14ac:dyDescent="0.2">
      <c r="B36" s="22"/>
      <c r="C36" s="22"/>
      <c r="D36" s="22"/>
      <c r="E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2"/>
    </row>
    <row r="37" spans="2:19" s="23" customFormat="1" x14ac:dyDescent="0.2">
      <c r="B37" s="22"/>
      <c r="C37" s="22"/>
      <c r="D37" s="22"/>
      <c r="E37" s="22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2"/>
    </row>
    <row r="38" spans="2:19" s="23" customFormat="1" x14ac:dyDescent="0.2">
      <c r="B38" s="22"/>
      <c r="C38" s="22"/>
      <c r="D38" s="22"/>
      <c r="E38" s="22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2"/>
    </row>
    <row r="39" spans="2:19" s="23" customFormat="1" x14ac:dyDescent="0.2">
      <c r="B39" s="22"/>
      <c r="C39" s="22"/>
      <c r="D39" s="22"/>
      <c r="E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2"/>
    </row>
    <row r="40" spans="2:19" s="23" customFormat="1" x14ac:dyDescent="0.2">
      <c r="B40" s="22"/>
      <c r="C40" s="22"/>
      <c r="D40" s="22"/>
      <c r="E40" s="22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2"/>
    </row>
    <row r="41" spans="2:19" x14ac:dyDescent="0.2">
      <c r="C41" s="22"/>
      <c r="D41" s="22"/>
      <c r="E41" s="22"/>
      <c r="F41" s="23"/>
      <c r="G41" s="24"/>
      <c r="H41" s="24"/>
      <c r="I41" s="24"/>
      <c r="L41" s="24"/>
      <c r="M41" s="24"/>
      <c r="N41" s="24"/>
      <c r="O41" s="24"/>
      <c r="P41" s="24"/>
      <c r="Q41" s="22"/>
    </row>
    <row r="42" spans="2:19" x14ac:dyDescent="0.2">
      <c r="C42" s="22"/>
      <c r="D42" s="22"/>
      <c r="E42" s="22"/>
      <c r="F42" s="23"/>
      <c r="G42" s="24"/>
      <c r="H42" s="24"/>
      <c r="I42" s="24"/>
      <c r="L42" s="24"/>
      <c r="M42" s="24"/>
      <c r="N42" s="24"/>
      <c r="O42" s="24"/>
      <c r="P42" s="24"/>
      <c r="Q42" s="22"/>
    </row>
    <row r="43" spans="2:19" x14ac:dyDescent="0.2">
      <c r="C43" s="22"/>
      <c r="D43" s="22"/>
      <c r="E43" s="22"/>
      <c r="F43" s="23"/>
      <c r="G43" s="24"/>
      <c r="H43" s="24"/>
      <c r="I43" s="24"/>
      <c r="L43" s="24"/>
      <c r="M43" s="24"/>
      <c r="N43" s="24"/>
      <c r="O43" s="24"/>
      <c r="P43" s="24"/>
      <c r="Q43" s="22"/>
    </row>
  </sheetData>
  <sheetProtection algorithmName="SHA-512" hashValue="C3k5XJYtV3uvrTAG24M20t0L6Q4Cb/SdOhxFov/Dth7nIvtqYzYZjlAsxPuTnY0hQcHP5Tsw7Yo/0SOa5o0Ftg==" saltValue="4/eRaDvrhD4fLs2o/jvQdg==" spinCount="100000" sheet="1" scenarios="1"/>
  <mergeCells count="5">
    <mergeCell ref="R2:R3"/>
    <mergeCell ref="F4:F12"/>
    <mergeCell ref="B2:J2"/>
    <mergeCell ref="K2:Q2"/>
    <mergeCell ref="F13:F31"/>
  </mergeCells>
  <conditionalFormatting sqref="R4:R32">
    <cfRule type="cellIs" dxfId="0" priority="1" operator="equal">
      <formula>"Yes"</formula>
    </cfRule>
  </conditionalFormatting>
  <dataValidations count="1">
    <dataValidation type="list" allowBlank="1" showInputMessage="1" showErrorMessage="1" sqref="R5:R32" xr:uid="{1F6366E7-5218-43B6-8921-02640AF7F962}">
      <formula1>"Yes, No"</formula1>
    </dataValidation>
  </dataValidations>
  <hyperlinks>
    <hyperlink ref="G33" r:id="rId1" xr:uid="{239C2DA7-4730-4D24-8B12-59493609C311}"/>
    <hyperlink ref="H33" r:id="rId2" xr:uid="{1336ABD2-8394-4694-917E-4E34A7C66EF3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E14A-569C-4145-804E-80FEF014DA9B}">
  <dimension ref="B1:X50"/>
  <sheetViews>
    <sheetView workbookViewId="0">
      <selection activeCell="D50" sqref="D50"/>
    </sheetView>
  </sheetViews>
  <sheetFormatPr defaultRowHeight="15" x14ac:dyDescent="0.25"/>
  <cols>
    <col min="1" max="1" width="3.42578125" customWidth="1"/>
    <col min="2" max="2" width="24.5703125" bestFit="1" customWidth="1"/>
    <col min="3" max="3" width="6.85546875" customWidth="1"/>
    <col min="4" max="4" width="17" bestFit="1" customWidth="1"/>
    <col min="6" max="6" width="16.28515625" customWidth="1"/>
    <col min="7" max="7" width="15" customWidth="1"/>
    <col min="8" max="8" width="21.140625" customWidth="1"/>
    <col min="9" max="9" width="19.140625" customWidth="1"/>
    <col min="10" max="10" width="10.7109375" bestFit="1" customWidth="1"/>
    <col min="11" max="18" width="9.7109375" bestFit="1" customWidth="1"/>
    <col min="19" max="19" width="9.28515625" bestFit="1" customWidth="1"/>
    <col min="20" max="20" width="9.7109375" bestFit="1" customWidth="1"/>
    <col min="21" max="21" width="9.28515625" bestFit="1" customWidth="1"/>
  </cols>
  <sheetData>
    <row r="1" spans="2:24" x14ac:dyDescent="0.25">
      <c r="B1" s="3" t="s">
        <v>2</v>
      </c>
      <c r="C1" s="12">
        <f>SUM(Input!D4:D10)</f>
        <v>8</v>
      </c>
      <c r="I1" s="2"/>
      <c r="J1" s="2"/>
      <c r="K1" s="2"/>
      <c r="L1" s="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2:24" x14ac:dyDescent="0.25">
      <c r="B2" s="1" t="s">
        <v>8</v>
      </c>
      <c r="C2" s="12">
        <f>Input!D12*BE!C1</f>
        <v>40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4" x14ac:dyDescent="0.25">
      <c r="B3" s="1" t="s">
        <v>13</v>
      </c>
      <c r="C3" s="12">
        <f>ROUNDDOWN(_xlfn.DAYS(Input!D15,Input!D14)/(Input!D16*7),0)</f>
        <v>15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24" x14ac:dyDescent="0.25">
      <c r="B4" s="1"/>
      <c r="C4" s="5"/>
      <c r="H4" s="13"/>
      <c r="I4" s="1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 x14ac:dyDescent="0.25">
      <c r="B5" s="1"/>
      <c r="C5" s="5"/>
      <c r="H5" s="13"/>
      <c r="I5" s="1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2:24" x14ac:dyDescent="0.25">
      <c r="B6" s="1"/>
      <c r="C6" s="5"/>
      <c r="H6" s="13"/>
      <c r="I6" s="1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x14ac:dyDescent="0.25">
      <c r="B7" s="1"/>
      <c r="C7" s="5"/>
      <c r="H7" s="13"/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x14ac:dyDescent="0.25">
      <c r="B8" s="1"/>
      <c r="C8" s="5"/>
      <c r="H8" s="13"/>
      <c r="I8" s="1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x14ac:dyDescent="0.25">
      <c r="B9" s="1"/>
      <c r="C9" s="5"/>
      <c r="H9" s="13"/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x14ac:dyDescent="0.25">
      <c r="B10" s="1"/>
      <c r="C10" s="5"/>
      <c r="H10" s="13"/>
      <c r="I10" s="1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2:24" x14ac:dyDescent="0.25">
      <c r="B11" s="1"/>
      <c r="C11" s="5"/>
      <c r="H11" s="13"/>
      <c r="I11" s="1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2:24" x14ac:dyDescent="0.25">
      <c r="B12" s="1"/>
      <c r="C12" s="5"/>
      <c r="H12" s="13"/>
      <c r="I12" s="1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2:24" x14ac:dyDescent="0.25">
      <c r="B13" s="1"/>
      <c r="C13" s="5"/>
      <c r="H13" s="13"/>
      <c r="I13" s="1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2:24" x14ac:dyDescent="0.25">
      <c r="B14" s="1"/>
      <c r="C14" s="5"/>
      <c r="H14" s="13"/>
      <c r="I14" s="1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x14ac:dyDescent="0.25">
      <c r="B15" s="1"/>
      <c r="C15" s="5"/>
      <c r="H15" s="13"/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2:24" x14ac:dyDescent="0.25">
      <c r="B16" s="1"/>
      <c r="C16" s="5"/>
      <c r="H16" s="13"/>
      <c r="I16" s="1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2:24" x14ac:dyDescent="0.25">
      <c r="B17" s="1"/>
      <c r="C17" s="5"/>
      <c r="H17" s="13"/>
      <c r="I17" s="1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2:24" x14ac:dyDescent="0.25">
      <c r="B18" s="1"/>
      <c r="C18" s="5"/>
      <c r="H18" s="13"/>
      <c r="I18" s="1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2:24" x14ac:dyDescent="0.25">
      <c r="B19" s="111" t="s">
        <v>42</v>
      </c>
      <c r="C19" s="111"/>
      <c r="D19" s="111"/>
      <c r="F19" s="8" t="s">
        <v>43</v>
      </c>
      <c r="G19" s="8"/>
      <c r="H19" s="8"/>
      <c r="I19" s="8"/>
    </row>
    <row r="20" spans="2:24" x14ac:dyDescent="0.25">
      <c r="B20" s="1" t="s">
        <v>37</v>
      </c>
      <c r="C20" s="1" t="s">
        <v>31</v>
      </c>
      <c r="D20" s="1" t="s">
        <v>38</v>
      </c>
      <c r="F20" s="3" t="s">
        <v>14</v>
      </c>
      <c r="G20" s="3" t="s">
        <v>15</v>
      </c>
      <c r="H20" s="3" t="s">
        <v>39</v>
      </c>
      <c r="I20" s="3" t="s">
        <v>49</v>
      </c>
      <c r="J20" s="3" t="s">
        <v>50</v>
      </c>
      <c r="K20" s="3" t="s">
        <v>47</v>
      </c>
      <c r="L20" s="3" t="s">
        <v>46</v>
      </c>
      <c r="M20" s="3" t="s">
        <v>52</v>
      </c>
      <c r="N20" s="15" t="s">
        <v>55</v>
      </c>
      <c r="O20" s="13"/>
    </row>
    <row r="21" spans="2:24" x14ac:dyDescent="0.25">
      <c r="B21" s="20" t="s">
        <v>17</v>
      </c>
      <c r="C21" s="18" t="str">
        <f>TRIM(IF(IF(ISODD(RIGHT(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,1)),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-0.01,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)=25,24.52,IF(ISODD(RIGHT(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,1)),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-0.01,CONCATENATE(RIGHT(YEAR(INDEX(Input!$G$4:$H$31,MATCH(BE!B21,Input!$G$4:$G$31,0),2)),2),".",IF(LEN(WEEKNUM(INDEX(Input!$G$4:$H$31,MATCH(BE!B21,Input!$G$4:$G$31,0),2)))=1,CONCATENATE("0",WEEKNUM(INDEX(Input!$G$4:$H$31,MATCH(BE!B21,Input!$G$4:$G$31,0),2))),WEEKNUM(INDEX(Input!$G$4:$H$31,MATCH(BE!B21,Input!$G$4:$G$31,0),2)))))))</f>
        <v>24.52</v>
      </c>
      <c r="D21" s="11">
        <f>IF(C21=0,"",ROUNDDOWN(INDEX(Input!$G$4:$I$18,MATCH(BE!B21,Input!$G$4:$G$18,0),3)*$C$2,0))</f>
        <v>10</v>
      </c>
      <c r="F21" s="3" t="str">
        <f>TRIM(IF(LEN(CONCATENATE(RIGHT(YEAR(G21),2),".",WEEKNUM(G21)-1))=5,CONCATENATE(RIGHT(YEAR(G21),2),".",WEEKNUM(G21)-1),CONCATENATE(RIGHT(YEAR(G21),2),".0",WEEKNUM(G21)-1)))</f>
        <v>24.42</v>
      </c>
      <c r="G21" s="6">
        <f>WORKDAY(Input!D14,9)</f>
        <v>45590</v>
      </c>
      <c r="H21" s="4">
        <f t="shared" ref="H21:H35" si="0">IFERROR(VLOOKUP(TRIM(F21),$C$21:$D$35,2),$C$2)</f>
        <v>40</v>
      </c>
      <c r="I21" s="2">
        <f>H21</f>
        <v>40</v>
      </c>
      <c r="J21" s="2">
        <f>IF(INDEX(Input!$M$4:$Q$32,MATCH(BE!F21,Input!$M$4:$M$32,0),5)=0,NA(),INDEX(Input!$M$4:$Q$32,MATCH(BE!F21,Input!$M$4:$M$32,0),5))</f>
        <v>2</v>
      </c>
      <c r="K21" s="2">
        <f>IF(INDEX(Input!$M$4:$P$32,MATCH(F21,Input!$M$4:$M$32,0),4)=0,NA(),INDEX(Input!$M$4:$P$32,MATCH(F21,Input!$M$4:$M$32,0),4))</f>
        <v>25</v>
      </c>
      <c r="L21" s="2">
        <f>IF(INDEX(Input!$M$4:$N$32,MATCH(F21,Input!$M$4:$M$32,0),2)=0,NA(),INDEX(Input!$M$4:$N$32,MATCH(F21,Input!$M$4:$M$32,0),2))</f>
        <v>500</v>
      </c>
      <c r="M21" s="2">
        <f>IF(ISBLANK(INDEX(Input!$M$4:$O$32,MATCH(BE!F21,Input!$M$4:$M$32,0),3)),NA(),INDEX(Input!$M$4:$O$32,MATCH(BE!F21,Input!$M$4:$M$32,0),3))</f>
        <v>10</v>
      </c>
      <c r="N21" s="19" t="s">
        <v>57</v>
      </c>
      <c r="O21" s="16"/>
      <c r="P21" s="2"/>
      <c r="Q21" s="2"/>
      <c r="R21" s="2"/>
      <c r="S21" s="2"/>
      <c r="T21" s="2"/>
      <c r="U21" s="2"/>
    </row>
    <row r="22" spans="2:24" x14ac:dyDescent="0.25">
      <c r="B22" s="20" t="s">
        <v>19</v>
      </c>
      <c r="C22" s="18" t="str">
        <f>TRIM(IF(IF(ISODD(RIGHT(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,1)),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-0.01,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)=25,24.52,IF(ISODD(RIGHT(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,1)),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-0.01,CONCATENATE(RIGHT(YEAR(INDEX(Input!$G$4:$H$31,MATCH(BE!B22,Input!$G$4:$G$31,0),2)),2),".",IF(LEN(WEEKNUM(INDEX(Input!$G$4:$H$31,MATCH(BE!B22,Input!$G$4:$G$31,0),2)))=1,CONCATENATE("0",WEEKNUM(INDEX(Input!$G$4:$H$31,MATCH(BE!B22,Input!$G$4:$G$31,0),2))),WEEKNUM(INDEX(Input!$G$4:$H$31,MATCH(BE!B22,Input!$G$4:$G$31,0),2)))))))</f>
        <v>25.02</v>
      </c>
      <c r="D22" s="11">
        <f>IF(C22=0,"",ROUNDDOWN(INDEX(Input!$G$4:$I$18,MATCH(BE!B22,Input!$G$4:$G$18,0),3)*$C$2,0))</f>
        <v>38</v>
      </c>
      <c r="F22" s="3" t="str">
        <f t="shared" ref="F22:F35" si="1">TRIM(IF(LEN(CONCATENATE(RIGHT(YEAR(G22),2),".",WEEKNUM(G22)-1))=5,CONCATENATE(RIGHT(YEAR(G22),2),".",WEEKNUM(G22)-1),CONCATENATE(RIGHT(YEAR(G22),2),".0",WEEKNUM(G22)-1)))</f>
        <v>24.44</v>
      </c>
      <c r="G22" s="6">
        <f>IF(WEEKNUM(G21+(7*Input!$D$16))=1,G21+28,G21+(7*Input!$D$16))</f>
        <v>45604</v>
      </c>
      <c r="H22" s="4">
        <f t="shared" si="0"/>
        <v>40</v>
      </c>
      <c r="I22" s="2">
        <f>H22+I21</f>
        <v>80</v>
      </c>
      <c r="J22" s="2">
        <f>IF(INDEX(Input!$M$4:$Q$32,MATCH(BE!F22,Input!$M$4:$M$32,0),5)=0,NA(),INDEX(Input!$M$4:$Q$32,MATCH(BE!F22,Input!$M$4:$M$32,0),5))</f>
        <v>5</v>
      </c>
      <c r="K22" s="2">
        <f>IF(INDEX(Input!$M$4:$P$32,MATCH(F22,Input!$M$4:$M$32,0),4)=0,NA(),INDEX(Input!$M$4:$P$32,MATCH(F22,Input!$M$4:$M$32,0),4))</f>
        <v>77</v>
      </c>
      <c r="L22" s="2">
        <f>IF(INDEX(Input!$M$4:$N$32,MATCH(F22,Input!$M$4:$M$32,0),2)=0,NA(),INDEX(Input!$M$4:$N$32,MATCH(F22,Input!$M$4:$M$32,0),2))</f>
        <v>500</v>
      </c>
      <c r="M22" s="2">
        <f>IF(ISBLANK(INDEX(Input!$M$4:$O$32,MATCH(BE!F22,Input!$M$4:$M$32,0),3)),NA(),INDEX(Input!$M$4:$O$32,MATCH(BE!F22,Input!$M$4:$M$32,0),3)+M21)</f>
        <v>20</v>
      </c>
      <c r="N22" s="19" t="e">
        <f>IF(OR(Input!R5="No",ISBLANK(Input!R5)),NA(),IF(ISERROR(M21),N21,M21)+J22)</f>
        <v>#N/A</v>
      </c>
      <c r="O22" s="17"/>
      <c r="P22" s="7"/>
      <c r="Q22" s="7"/>
      <c r="R22" s="7"/>
      <c r="S22" s="7"/>
      <c r="T22" s="7"/>
      <c r="U22" s="7"/>
    </row>
    <row r="23" spans="2:24" x14ac:dyDescent="0.25">
      <c r="B23" s="20" t="s">
        <v>18</v>
      </c>
      <c r="C23" s="18" t="str">
        <f>TRIM(IF(IF(ISODD(RIGHT(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,1)),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-0.01,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)=25,24.52,IF(ISODD(RIGHT(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,1)),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-0.01,CONCATENATE(RIGHT(YEAR(INDEX(Input!$G$4:$H$31,MATCH(BE!B23,Input!$G$4:$G$31,0),2)),2),".",IF(LEN(WEEKNUM(INDEX(Input!$G$4:$H$31,MATCH(BE!B23,Input!$G$4:$G$31,0),2)))=1,CONCATENATE("0",WEEKNUM(INDEX(Input!$G$4:$H$31,MATCH(BE!B23,Input!$G$4:$G$31,0),2))),WEEKNUM(INDEX(Input!$G$4:$H$31,MATCH(BE!B23,Input!$G$4:$G$31,0),2)))))))</f>
        <v>25.06</v>
      </c>
      <c r="D23" s="11">
        <f>IF(C23=0,"",ROUNDDOWN(INDEX(Input!$G$4:$I$18,MATCH(BE!B23,Input!$G$4:$G$18,0),3)*$C$2,0))</f>
        <v>38</v>
      </c>
      <c r="F23" s="3" t="str">
        <f t="shared" si="1"/>
        <v>24.46</v>
      </c>
      <c r="G23" s="6">
        <f>IF(WEEKNUM(G22+(7*Input!$D$16))=1,G22+28,G22+(7*Input!$D$16))</f>
        <v>45618</v>
      </c>
      <c r="H23" s="4">
        <f t="shared" si="0"/>
        <v>40</v>
      </c>
      <c r="I23" s="2">
        <f t="shared" ref="I23:I35" si="2">H23+I22</f>
        <v>120</v>
      </c>
      <c r="J23" s="2">
        <f>IF(INDEX(Input!$M$4:$Q$32,MATCH(BE!F23,Input!$M$4:$M$32,0),5)=0,NA(),INDEX(Input!$M$4:$Q$32,MATCH(BE!F23,Input!$M$4:$M$32,0),5))</f>
        <v>15</v>
      </c>
      <c r="K23" s="2">
        <f>IF(INDEX(Input!$M$4:$P$32,MATCH(F23,Input!$M$4:$M$32,0),4)=0,NA(),INDEX(Input!$M$4:$P$32,MATCH(F23,Input!$M$4:$M$32,0),4))</f>
        <v>87</v>
      </c>
      <c r="L23" s="2">
        <f>IF(INDEX(Input!$M$4:$N$32,MATCH(F23,Input!$M$4:$M$32,0),2)=0,NA(),INDEX(Input!$M$4:$N$32,MATCH(F23,Input!$M$4:$M$32,0),2))</f>
        <v>500</v>
      </c>
      <c r="M23" s="2">
        <f>IF(ISBLANK(INDEX(Input!$M$4:$O$32,MATCH(BE!F23,Input!$M$4:$M$32,0),3)),NA(),INDEX(Input!$M$4:$O$32,MATCH(BE!F23,Input!$M$4:$M$32,0),3)+M22)</f>
        <v>35</v>
      </c>
      <c r="N23" s="19" t="e">
        <f>IF(OR(Input!R6="No",ISBLANK(Input!R6)),NA(),IF(ISERROR(M22),N22,M22)+J23)</f>
        <v>#N/A</v>
      </c>
      <c r="O23" s="16"/>
      <c r="P23" s="2"/>
      <c r="Q23" s="2"/>
      <c r="R23" s="2"/>
      <c r="S23" s="2"/>
      <c r="T23" s="2"/>
      <c r="U23" s="2"/>
    </row>
    <row r="24" spans="2:24" x14ac:dyDescent="0.25">
      <c r="B24" s="20" t="s">
        <v>27</v>
      </c>
      <c r="C24" s="18" t="str">
        <f>TRIM(IF(IF(ISODD(RIGHT(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,1)),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-0.01,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)=25,24.52,IF(ISODD(RIGHT(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,1)),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-0.01,CONCATENATE(RIGHT(YEAR(INDEX(Input!$G$4:$H$31,MATCH(BE!B24,Input!$G$4:$G$31,0),2)),2),".",IF(LEN(WEEKNUM(INDEX(Input!$G$4:$H$31,MATCH(BE!B24,Input!$G$4:$G$31,0),2)))=1,CONCATENATE("0",WEEKNUM(INDEX(Input!$G$4:$H$31,MATCH(BE!B24,Input!$G$4:$G$31,0),2))),WEEKNUM(INDEX(Input!$G$4:$H$31,MATCH(BE!B24,Input!$G$4:$G$31,0),2)))))))</f>
        <v>25.06</v>
      </c>
      <c r="D24" s="11">
        <f>IF(C24=0,"",ROUNDDOWN(INDEX(Input!$G$4:$I$18,MATCH(BE!B24,Input!$G$4:$G$18,0),3)*$C$2,0))</f>
        <v>20</v>
      </c>
      <c r="F24" s="3" t="str">
        <f t="shared" si="1"/>
        <v>24.48</v>
      </c>
      <c r="G24" s="6">
        <f>IF(WEEKNUM(G23+(7*Input!$D$16))=1,G23+28,G23+(7*Input!$D$16))</f>
        <v>45632</v>
      </c>
      <c r="H24" s="4">
        <f t="shared" si="0"/>
        <v>40</v>
      </c>
      <c r="I24" s="2">
        <f t="shared" si="2"/>
        <v>160</v>
      </c>
      <c r="J24" s="2">
        <f>IF(INDEX(Input!$M$4:$Q$32,MATCH(BE!F24,Input!$M$4:$M$32,0),5)=0,NA(),INDEX(Input!$M$4:$Q$32,MATCH(BE!F24,Input!$M$4:$M$32,0),5))</f>
        <v>15</v>
      </c>
      <c r="K24" s="2">
        <f>IF(INDEX(Input!$M$4:$P$32,MATCH(F24,Input!$M$4:$M$32,0),4)=0,NA(),INDEX(Input!$M$4:$P$32,MATCH(F24,Input!$M$4:$M$32,0),4))</f>
        <v>145</v>
      </c>
      <c r="L24" s="2">
        <f>IF(INDEX(Input!$M$4:$N$32,MATCH(F24,Input!$M$4:$M$32,0),2)=0,NA(),INDEX(Input!$M$4:$N$32,MATCH(F24,Input!$M$4:$M$32,0),2))</f>
        <v>500</v>
      </c>
      <c r="M24" s="2">
        <f>IF(ISBLANK(INDEX(Input!$M$4:$O$32,MATCH(BE!F24,Input!$M$4:$M$32,0),3)),NA(),INDEX(Input!$M$4:$O$32,MATCH(BE!F24,Input!$M$4:$M$32,0),3)+M23)</f>
        <v>50</v>
      </c>
      <c r="N24" s="19" t="e">
        <f>IF(OR(Input!R7="No",ISBLANK(Input!R7)),NA(),IF(ISERROR(M23),N23,M23)+J24)</f>
        <v>#N/A</v>
      </c>
      <c r="O24" s="13"/>
    </row>
    <row r="25" spans="2:24" x14ac:dyDescent="0.25">
      <c r="B25" s="20" t="s">
        <v>20</v>
      </c>
      <c r="C25" s="18" t="str">
        <f>TRIM(IF(IF(ISODD(RIGHT(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,1)),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-0.01,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)=25,24.52,IF(ISODD(RIGHT(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,1)),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-0.01,CONCATENATE(RIGHT(YEAR(INDEX(Input!$G$4:$H$31,MATCH(BE!B25,Input!$G$4:$G$31,0),2)),2),".",IF(LEN(WEEKNUM(INDEX(Input!$G$4:$H$31,MATCH(BE!B25,Input!$G$4:$G$31,0),2)))=1,CONCATENATE("0",WEEKNUM(INDEX(Input!$G$4:$H$31,MATCH(BE!B25,Input!$G$4:$G$31,0),2))),WEEKNUM(INDEX(Input!$G$4:$H$31,MATCH(BE!B25,Input!$G$4:$G$31,0),2)))))))</f>
        <v>25.12</v>
      </c>
      <c r="D25" s="11">
        <f>IF(C25=0,"",ROUNDDOWN(INDEX(Input!$G$4:$I$18,MATCH(BE!B25,Input!$G$4:$G$18,0),3)*$C$2,0))</f>
        <v>32</v>
      </c>
      <c r="F25" s="3" t="str">
        <f t="shared" si="1"/>
        <v>24.50</v>
      </c>
      <c r="G25" s="6">
        <f>IF(WEEKNUM(G24+(7*Input!$D$16))=1,G24+28,G24+(7*Input!$D$16))</f>
        <v>45646</v>
      </c>
      <c r="H25" s="4">
        <f t="shared" si="0"/>
        <v>40</v>
      </c>
      <c r="I25" s="2">
        <f t="shared" si="2"/>
        <v>200</v>
      </c>
      <c r="J25" s="2">
        <f>IF(INDEX(Input!$M$4:$Q$32,MATCH(BE!F25,Input!$M$4:$M$32,0),5)=0,NA(),INDEX(Input!$M$4:$Q$32,MATCH(BE!F25,Input!$M$4:$M$32,0),5))</f>
        <v>30</v>
      </c>
      <c r="K25" s="2">
        <f>IF(INDEX(Input!$M$4:$P$32,MATCH(F25,Input!$M$4:$M$32,0),4)=0,NA(),INDEX(Input!$M$4:$P$32,MATCH(F25,Input!$M$4:$M$32,0),4))</f>
        <v>168</v>
      </c>
      <c r="L25" s="2">
        <f>IF(INDEX(Input!$M$4:$N$32,MATCH(F25,Input!$M$4:$M$32,0),2)=0,NA(),INDEX(Input!$M$4:$N$32,MATCH(F25,Input!$M$4:$M$32,0),2))</f>
        <v>437</v>
      </c>
      <c r="M25" s="2">
        <f>IF(ISBLANK(INDEX(Input!$M$4:$O$32,MATCH(BE!F25,Input!$M$4:$M$32,0),3)),NA(),INDEX(Input!$M$4:$O$32,MATCH(BE!F25,Input!$M$4:$M$32,0),3)+M24)</f>
        <v>80</v>
      </c>
      <c r="N25" s="19" t="e">
        <f>IF(OR(Input!R8="No",ISBLANK(Input!R8)),NA(),IF(ISERROR(M24),N24,M24)+J25)</f>
        <v>#N/A</v>
      </c>
      <c r="O25" s="13"/>
    </row>
    <row r="26" spans="2:24" x14ac:dyDescent="0.25">
      <c r="B26" s="20" t="s">
        <v>21</v>
      </c>
      <c r="C26" s="18" t="str">
        <f>TRIM(IF(IF(ISODD(RIGHT(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,1)),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-0.01,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)=25,24.52,IF(ISODD(RIGHT(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,1)),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-0.01,CONCATENATE(RIGHT(YEAR(INDEX(Input!$G$4:$H$31,MATCH(BE!B26,Input!$G$4:$G$31,0),2)),2),".",IF(LEN(WEEKNUM(INDEX(Input!$G$4:$H$31,MATCH(BE!B26,Input!$G$4:$G$31,0),2)))=1,CONCATENATE("0",WEEKNUM(INDEX(Input!$G$4:$H$31,MATCH(BE!B26,Input!$G$4:$G$31,0),2))),WEEKNUM(INDEX(Input!$G$4:$H$31,MATCH(BE!B26,Input!$G$4:$G$31,0),2)))))))</f>
        <v>25.22</v>
      </c>
      <c r="D26" s="11">
        <f>IF(C26=0,"",ROUNDDOWN(INDEX(Input!$G$4:$I$18,MATCH(BE!B26,Input!$G$4:$G$18,0),3)*$C$2,0))</f>
        <v>38</v>
      </c>
      <c r="F26" s="3" t="str">
        <f t="shared" si="1"/>
        <v>25.02</v>
      </c>
      <c r="G26" s="6">
        <f>IF(WEEKNUM(G25+(7*Input!$D$16))=1,G25+28,G25+(7*Input!$D$16))</f>
        <v>45674</v>
      </c>
      <c r="H26" s="4">
        <f t="shared" si="0"/>
        <v>38</v>
      </c>
      <c r="I26" s="2">
        <f t="shared" si="2"/>
        <v>238</v>
      </c>
      <c r="J26" s="2">
        <f>IF(INDEX(Input!$M$4:$Q$32,MATCH(BE!F26,Input!$M$4:$M$32,0),5)=0,NA(),INDEX(Input!$M$4:$Q$32,MATCH(BE!F26,Input!$M$4:$M$32,0),5))</f>
        <v>36</v>
      </c>
      <c r="K26" s="2">
        <f>IF(INDEX(Input!$M$4:$P$32,MATCH(F26,Input!$M$4:$M$32,0),4)=0,NA(),INDEX(Input!$M$4:$P$32,MATCH(F26,Input!$M$4:$M$32,0),4))</f>
        <v>341</v>
      </c>
      <c r="L26" s="2">
        <f>IF(INDEX(Input!$M$4:$N$32,MATCH(F26,Input!$M$4:$M$32,0),2)=0,NA(),INDEX(Input!$M$4:$N$32,MATCH(F26,Input!$M$4:$M$32,0),2))</f>
        <v>437</v>
      </c>
      <c r="M26" s="2">
        <f>IF(ISBLANK(INDEX(Input!$M$4:$O$32,MATCH(BE!F26,Input!$M$4:$M$32,0),3)),NA(),INDEX(Input!$M$4:$O$32,MATCH(BE!F26,Input!$M$4:$M$32,0),3)+M25)</f>
        <v>118</v>
      </c>
      <c r="N26" s="19" t="e">
        <f>IF(OR(Input!R9="No",ISBLANK(Input!R9)),NA(),IF(ISERROR(M25),N25,M25)+J26)</f>
        <v>#N/A</v>
      </c>
      <c r="O26" s="13"/>
    </row>
    <row r="27" spans="2:24" x14ac:dyDescent="0.25">
      <c r="B27" s="20" t="s">
        <v>24</v>
      </c>
      <c r="C27" s="18" t="str">
        <f>TRIM(IF(IF(ISODD(RIGHT(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,1)),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-0.01,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)=25,24.52,IF(ISODD(RIGHT(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,1)),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-0.01,CONCATENATE(RIGHT(YEAR(INDEX(Input!$G$4:$H$31,MATCH(BE!B27,Input!$G$4:$G$31,0),2)),2),".",IF(LEN(WEEKNUM(INDEX(Input!$G$4:$H$31,MATCH(BE!B27,Input!$G$4:$G$31,0),2)))=1,CONCATENATE("0",WEEKNUM(INDEX(Input!$G$4:$H$31,MATCH(BE!B27,Input!$G$4:$G$31,0),2))),WEEKNUM(INDEX(Input!$G$4:$H$31,MATCH(BE!B27,Input!$G$4:$G$31,0),2)))))))</f>
        <v>25.26</v>
      </c>
      <c r="D27" s="11">
        <f>IF(C27=0,"",ROUNDDOWN(INDEX(Input!$G$4:$I$18,MATCH(BE!B27,Input!$G$4:$G$18,0),3)*$C$2,0))</f>
        <v>32</v>
      </c>
      <c r="F27" s="3" t="str">
        <f t="shared" si="1"/>
        <v>25.04</v>
      </c>
      <c r="G27" s="6">
        <f>IF(WEEKNUM(G26+(7*Input!$D$16))=1,G26+28,G26+(7*Input!$D$16))</f>
        <v>45688</v>
      </c>
      <c r="H27" s="4">
        <f t="shared" si="0"/>
        <v>38</v>
      </c>
      <c r="I27" s="2">
        <f t="shared" si="2"/>
        <v>276</v>
      </c>
      <c r="J27" s="2">
        <f>IF(INDEX(Input!$M$4:$Q$32,MATCH(BE!F27,Input!$M$4:$M$32,0),5)=0,NA(),INDEX(Input!$M$4:$Q$32,MATCH(BE!F27,Input!$M$4:$M$32,0),5))</f>
        <v>35</v>
      </c>
      <c r="K27" s="2">
        <f>IF(INDEX(Input!$M$4:$P$32,MATCH(F27,Input!$M$4:$M$32,0),4)=0,NA(),INDEX(Input!$M$4:$P$32,MATCH(F27,Input!$M$4:$M$32,0),4))</f>
        <v>362</v>
      </c>
      <c r="L27" s="2">
        <f>IF(INDEX(Input!$M$4:$N$32,MATCH(F27,Input!$M$4:$M$32,0),2)=0,NA(),INDEX(Input!$M$4:$N$32,MATCH(F27,Input!$M$4:$M$32,0),2))</f>
        <v>437</v>
      </c>
      <c r="M27" s="2">
        <f>IF(ISBLANK(INDEX(Input!$M$4:$O$32,MATCH(BE!F27,Input!$M$4:$M$32,0),3)),NA(),INDEX(Input!$M$4:$O$32,MATCH(BE!F27,Input!$M$4:$M$32,0),3)+M26)</f>
        <v>160</v>
      </c>
      <c r="N27" s="19" t="e">
        <f>IF(OR(Input!R10="No",ISBLANK(Input!R10)),NA(),IF(ISERROR(M26),N26,M26)+J27)</f>
        <v>#N/A</v>
      </c>
      <c r="O27" s="13"/>
    </row>
    <row r="28" spans="2:24" x14ac:dyDescent="0.25">
      <c r="B28" s="20" t="s">
        <v>22</v>
      </c>
      <c r="C28" s="18" t="str">
        <f>TRIM(IF(IF(ISODD(RIGHT(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,1)),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-0.01,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)=25,24.52,IF(ISODD(RIGHT(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,1)),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-0.01,CONCATENATE(RIGHT(YEAR(INDEX(Input!$G$4:$H$31,MATCH(BE!B28,Input!$G$4:$G$31,0),2)),2),".",IF(LEN(WEEKNUM(INDEX(Input!$G$4:$H$31,MATCH(BE!B28,Input!$G$4:$G$31,0),2)))=1,CONCATENATE("0",WEEKNUM(INDEX(Input!$G$4:$H$31,MATCH(BE!B28,Input!$G$4:$G$31,0),2))),WEEKNUM(INDEX(Input!$G$4:$H$31,MATCH(BE!B28,Input!$G$4:$G$31,0),2)))))))</f>
        <v>25.36</v>
      </c>
      <c r="D28" s="11">
        <f>IF(C28=0,"",ROUNDDOWN(INDEX(Input!$G$4:$I$18,MATCH(BE!B28,Input!$G$4:$G$18,0),3)*$C$2,0))</f>
        <v>32</v>
      </c>
      <c r="F28" s="3" t="str">
        <f t="shared" si="1"/>
        <v>25.06</v>
      </c>
      <c r="G28" s="6">
        <f>IF(WEEKNUM(G27+(7*Input!$D$16))=1,G27+28,G27+(7*Input!$D$16))</f>
        <v>45702</v>
      </c>
      <c r="H28" s="4">
        <f t="shared" si="0"/>
        <v>20</v>
      </c>
      <c r="I28" s="2">
        <f t="shared" si="2"/>
        <v>296</v>
      </c>
      <c r="J28" s="2">
        <f>IF(INDEX(Input!$M$4:$Q$32,MATCH(BE!F28,Input!$M$4:$M$32,0),5)=0,NA(),INDEX(Input!$M$4:$Q$32,MATCH(BE!F28,Input!$M$4:$M$32,0),5))</f>
        <v>40</v>
      </c>
      <c r="K28" s="2">
        <f>IF(INDEX(Input!$M$4:$P$32,MATCH(F28,Input!$M$4:$M$32,0),4)=0,NA(),INDEX(Input!$M$4:$P$32,MATCH(F28,Input!$M$4:$M$32,0),4))</f>
        <v>395</v>
      </c>
      <c r="L28" s="2">
        <f>IF(INDEX(Input!$M$4:$N$32,MATCH(F28,Input!$M$4:$M$32,0),2)=0,NA(),INDEX(Input!$M$4:$N$32,MATCH(F28,Input!$M$4:$M$32,0),2))</f>
        <v>445</v>
      </c>
      <c r="M28" s="2">
        <f>IF(ISBLANK(INDEX(Input!$M$4:$O$32,MATCH(BE!F28,Input!$M$4:$M$32,0),3)),NA(),INDEX(Input!$M$4:$O$32,MATCH(BE!F28,Input!$M$4:$M$32,0),3)+M27)</f>
        <v>200</v>
      </c>
      <c r="N28" s="19" t="e">
        <f>IF(OR(Input!R11="No",ISBLANK(Input!R11)),NA(),IF(ISERROR(M27),N27,M27)+J28)</f>
        <v>#N/A</v>
      </c>
      <c r="O28" s="13"/>
    </row>
    <row r="29" spans="2:24" x14ac:dyDescent="0.25">
      <c r="B29" s="20" t="s">
        <v>23</v>
      </c>
      <c r="C29" s="18" t="str">
        <f>TRIM(IF(IF(ISODD(RIGHT(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,1)),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-0.01,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)=25,24.52,IF(ISODD(RIGHT(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,1)),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-0.01,CONCATENATE(RIGHT(YEAR(INDEX(Input!$G$4:$H$31,MATCH(BE!B29,Input!$G$4:$G$31,0),2)),2),".",IF(LEN(WEEKNUM(INDEX(Input!$G$4:$H$31,MATCH(BE!B29,Input!$G$4:$G$31,0),2)))=1,CONCATENATE("0",WEEKNUM(INDEX(Input!$G$4:$H$31,MATCH(BE!B29,Input!$G$4:$G$31,0),2))),WEEKNUM(INDEX(Input!$G$4:$H$31,MATCH(BE!B29,Input!$G$4:$G$31,0),2)))))))</f>
        <v>25.48</v>
      </c>
      <c r="D29" s="11">
        <f>IF(C29=0,"",ROUNDDOWN(INDEX(Input!$G$4:$I$18,MATCH(BE!B29,Input!$G$4:$G$18,0),3)*$C$2,0))</f>
        <v>20</v>
      </c>
      <c r="F29" s="3" t="str">
        <f t="shared" si="1"/>
        <v>25.08</v>
      </c>
      <c r="G29" s="6">
        <f>IF(WEEKNUM(G28+(7*Input!$D$16))=1,G28+28,G28+(7*Input!$D$16))</f>
        <v>45716</v>
      </c>
      <c r="H29" s="4">
        <f t="shared" si="0"/>
        <v>20</v>
      </c>
      <c r="I29" s="2">
        <f t="shared" si="2"/>
        <v>316</v>
      </c>
      <c r="J29" s="2">
        <f>IF(INDEX(Input!$M$4:$Q$32,MATCH(BE!F29,Input!$M$4:$M$32,0),5)=0,NA(),INDEX(Input!$M$4:$Q$32,MATCH(BE!F29,Input!$M$4:$M$32,0),5))</f>
        <v>42</v>
      </c>
      <c r="K29" s="2">
        <f>IF(INDEX(Input!$M$4:$P$32,MATCH(F29,Input!$M$4:$M$32,0),4)=0,NA(),INDEX(Input!$M$4:$P$32,MATCH(F29,Input!$M$4:$M$32,0),4))</f>
        <v>415</v>
      </c>
      <c r="L29" s="2">
        <f>IF(INDEX(Input!$M$4:$N$32,MATCH(F29,Input!$M$4:$M$32,0),2)=0,NA(),INDEX(Input!$M$4:$N$32,MATCH(F29,Input!$M$4:$M$32,0),2))</f>
        <v>445</v>
      </c>
      <c r="M29" s="2">
        <f>IF(ISBLANK(INDEX(Input!$M$4:$O$32,MATCH(BE!F29,Input!$M$4:$M$32,0),3)),NA(),INDEX(Input!$M$4:$O$32,MATCH(BE!F29,Input!$M$4:$M$32,0),3)+M28)</f>
        <v>240</v>
      </c>
      <c r="N29" s="19" t="e">
        <f>IF(OR(Input!R12="No",ISBLANK(Input!R12)),NA(),IF(ISERROR(M28),N28,M28)+J29)</f>
        <v>#N/A</v>
      </c>
      <c r="O29" s="13"/>
    </row>
    <row r="30" spans="2:24" x14ac:dyDescent="0.25">
      <c r="B30" s="20" t="s">
        <v>34</v>
      </c>
      <c r="C30" s="18" t="str">
        <f>TRIM(IF(IF(ISODD(RIGHT(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,1)),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-0.01,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)=25,24.52,IF(ISODD(RIGHT(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,1)),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-0.01,CONCATENATE(RIGHT(YEAR(INDEX(Input!$G$4:$H$31,MATCH(BE!B30,Input!$G$4:$G$31,0),2)),2),".",IF(LEN(WEEKNUM(INDEX(Input!$G$4:$H$31,MATCH(BE!B30,Input!$G$4:$G$31,0),2)))=1,CONCATENATE("0",WEEKNUM(INDEX(Input!$G$4:$H$31,MATCH(BE!B30,Input!$G$4:$G$31,0),2))),WEEKNUM(INDEX(Input!$G$4:$H$31,MATCH(BE!B30,Input!$G$4:$G$31,0),2)))))))</f>
        <v>25.06</v>
      </c>
      <c r="D30" s="11">
        <f>IF(C30=0,"",ROUNDDOWN(INDEX(Input!$G$4:$I$18,MATCH(BE!B30,Input!$G$4:$G$18,0),3)*$C$2,0))</f>
        <v>38</v>
      </c>
      <c r="F30" s="3" t="str">
        <f t="shared" si="1"/>
        <v>25.10</v>
      </c>
      <c r="G30" s="6">
        <f>IF(WEEKNUM(G29+(7*Input!$D$16))=1,G29+28,G29+(7*Input!$D$16))</f>
        <v>45730</v>
      </c>
      <c r="H30" s="4">
        <f t="shared" si="0"/>
        <v>20</v>
      </c>
      <c r="I30" s="2">
        <f t="shared" si="2"/>
        <v>336</v>
      </c>
      <c r="J30" s="2">
        <f>IF(INDEX(Input!$M$4:$Q$32,MATCH(BE!F30,Input!$M$4:$M$32,0),5)=0,NA(),INDEX(Input!$M$4:$Q$32,MATCH(BE!F30,Input!$M$4:$M$32,0),5))</f>
        <v>40</v>
      </c>
      <c r="K30" s="2" t="e">
        <f>IF(INDEX(Input!$M$4:$P$32,MATCH(F30,Input!$M$4:$M$32,0),4)=0,NA(),INDEX(Input!$M$4:$P$32,MATCH(F30,Input!$M$4:$M$32,0),4))</f>
        <v>#N/A</v>
      </c>
      <c r="L30" s="2">
        <f>IF(INDEX(Input!$M$4:$N$32,MATCH(F30,Input!$M$4:$M$32,0),2)=0,NA(),INDEX(Input!$M$4:$N$32,MATCH(F30,Input!$M$4:$M$32,0),2))</f>
        <v>445</v>
      </c>
      <c r="M30" s="2">
        <f>IF(ISBLANK(INDEX(Input!$M$4:$O$32,MATCH(BE!F30,Input!$M$4:$M$32,0),3)),NA(),INDEX(Input!$M$4:$O$32,MATCH(BE!F30,Input!$M$4:$M$32,0),3)+M29)</f>
        <v>280</v>
      </c>
      <c r="N30" s="19">
        <f>IF(OR(Input!R13="No",ISBLANK(Input!R13)),NA(),IF(ISERROR(M29),N29,M29)+J30)</f>
        <v>280</v>
      </c>
      <c r="O30" s="13"/>
    </row>
    <row r="31" spans="2:24" x14ac:dyDescent="0.25">
      <c r="B31" s="20" t="s">
        <v>26</v>
      </c>
      <c r="C31" s="18" t="str">
        <f>TRIM(IF(IF(ISODD(RIGHT(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,1)),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-0.01,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)=25,24.52,IF(ISODD(RIGHT(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,1)),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-0.01,CONCATENATE(RIGHT(YEAR(INDEX(Input!$G$4:$H$31,MATCH(BE!B31,Input!$G$4:$G$31,0),2)),2),".",IF(LEN(WEEKNUM(INDEX(Input!$G$4:$H$31,MATCH(BE!B31,Input!$G$4:$G$31,0),2)))=1,CONCATENATE("0",WEEKNUM(INDEX(Input!$G$4:$H$31,MATCH(BE!B31,Input!$G$4:$G$31,0),2))),WEEKNUM(INDEX(Input!$G$4:$H$31,MATCH(BE!B31,Input!$G$4:$G$31,0),2)))))))</f>
        <v>25.14</v>
      </c>
      <c r="D31" s="11">
        <f>IF(C31=0,"",ROUNDDOWN(INDEX(Input!$G$4:$I$18,MATCH(BE!B31,Input!$G$4:$G$18,0),3)*$C$2,0))</f>
        <v>38</v>
      </c>
      <c r="F31" s="3" t="str">
        <f t="shared" si="1"/>
        <v>25.12</v>
      </c>
      <c r="G31" s="6">
        <f>IF(WEEKNUM(G30+(7*Input!$D$16))=1,G30+28,G30+(7*Input!$D$16))</f>
        <v>45744</v>
      </c>
      <c r="H31" s="4">
        <f t="shared" si="0"/>
        <v>32</v>
      </c>
      <c r="I31" s="2">
        <f t="shared" si="2"/>
        <v>368</v>
      </c>
      <c r="J31" s="2">
        <f>IF(INDEX(Input!$M$4:$Q$32,MATCH(BE!F31,Input!$M$4:$M$32,0),5)=0,NA(),INDEX(Input!$M$4:$Q$32,MATCH(BE!F31,Input!$M$4:$M$32,0),5))</f>
        <v>50</v>
      </c>
      <c r="K31" s="2" t="e">
        <f>IF(INDEX(Input!$M$4:$P$32,MATCH(F31,Input!$M$4:$M$32,0),4)=0,NA(),INDEX(Input!$M$4:$P$32,MATCH(F31,Input!$M$4:$M$32,0),4))</f>
        <v>#N/A</v>
      </c>
      <c r="L31" s="2">
        <f>IF(INDEX(Input!$M$4:$N$32,MATCH(F31,Input!$M$4:$M$32,0),2)=0,NA(),INDEX(Input!$M$4:$N$32,MATCH(F31,Input!$M$4:$M$32,0),2))</f>
        <v>445</v>
      </c>
      <c r="M31" s="2" t="e">
        <f>IF(ISBLANK(INDEX(Input!$M$4:$O$32,MATCH(BE!F31,Input!$M$4:$M$32,0),3)),NA(),INDEX(Input!$M$4:$O$32,MATCH(BE!F31,Input!$M$4:$M$32,0),3)+M30)</f>
        <v>#N/A</v>
      </c>
      <c r="N31" s="19">
        <f>IF(OR(Input!R14="No",ISBLANK(Input!R14)),NA(),IF(ISERROR(M30),N30,M30)+J31)</f>
        <v>330</v>
      </c>
      <c r="O31" s="13"/>
    </row>
    <row r="32" spans="2:24" x14ac:dyDescent="0.25">
      <c r="B32" s="20" t="s">
        <v>35</v>
      </c>
      <c r="C32" s="18" t="str">
        <f>TRIM(IF(IF(ISODD(RIGHT(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,1)),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-0.01,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)=25,24.52,IF(ISODD(RIGHT(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,1)),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-0.01,CONCATENATE(RIGHT(YEAR(INDEX(Input!$G$4:$H$31,MATCH(BE!B32,Input!$G$4:$G$31,0),2)),2),".",IF(LEN(WEEKNUM(INDEX(Input!$G$4:$H$31,MATCH(BE!B32,Input!$G$4:$G$31,0),2)))=1,CONCATENATE("0",WEEKNUM(INDEX(Input!$G$4:$H$31,MATCH(BE!B32,Input!$G$4:$G$31,0),2))),WEEKNUM(INDEX(Input!$G$4:$H$31,MATCH(BE!B32,Input!$G$4:$G$31,0),2)))))))</f>
        <v>25.20</v>
      </c>
      <c r="D32" s="11">
        <f>IF(C32=0,"",ROUNDDOWN(INDEX(Input!$G$4:$I$18,MATCH(BE!B32,Input!$G$4:$G$18,0),3)*$C$2,0))</f>
        <v>38</v>
      </c>
      <c r="F32" s="3" t="str">
        <f t="shared" si="1"/>
        <v>25.14</v>
      </c>
      <c r="G32" s="6">
        <f>IF(WEEKNUM(G31+(7*Input!$D$16))=1,G31+28,G31+(7*Input!$D$16))</f>
        <v>45758</v>
      </c>
      <c r="H32" s="4">
        <f t="shared" si="0"/>
        <v>32</v>
      </c>
      <c r="I32" s="2">
        <f t="shared" si="2"/>
        <v>400</v>
      </c>
      <c r="J32" s="2">
        <f>IF(INDEX(Input!$M$4:$Q$32,MATCH(BE!F32,Input!$M$4:$M$32,0),5)=0,NA(),INDEX(Input!$M$4:$Q$32,MATCH(BE!F32,Input!$M$4:$M$32,0),5))</f>
        <v>55</v>
      </c>
      <c r="K32" s="2" t="e">
        <f>IF(INDEX(Input!$M$4:$P$32,MATCH(F32,Input!$M$4:$M$32,0),4)=0,NA(),INDEX(Input!$M$4:$P$32,MATCH(F32,Input!$M$4:$M$32,0),4))</f>
        <v>#N/A</v>
      </c>
      <c r="L32" s="2">
        <f>IF(INDEX(Input!$M$4:$N$32,MATCH(F32,Input!$M$4:$M$32,0),2)=0,NA(),INDEX(Input!$M$4:$N$32,MATCH(F32,Input!$M$4:$M$32,0),2))</f>
        <v>445</v>
      </c>
      <c r="M32" s="2" t="e">
        <f>IF(ISBLANK(INDEX(Input!$M$4:$O$32,MATCH(BE!F32,Input!$M$4:$M$32,0),3)),NA(),INDEX(Input!$M$4:$O$32,MATCH(BE!F32,Input!$M$4:$M$32,0),3)+M31)</f>
        <v>#N/A</v>
      </c>
      <c r="N32" s="19">
        <f>IF(OR(Input!R15="No",ISBLANK(Input!R15)),NA(),IF(ISERROR(M31),N31,M31)+J32)</f>
        <v>385</v>
      </c>
      <c r="O32" s="13"/>
    </row>
    <row r="33" spans="2:15" x14ac:dyDescent="0.25">
      <c r="B33" s="20" t="s">
        <v>28</v>
      </c>
      <c r="C33" s="18" t="str">
        <f>TRIM(IF(IF(ISODD(RIGHT(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,1)),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-0.01,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)=25,24.52,IF(ISODD(RIGHT(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,1)),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-0.01,CONCATENATE(RIGHT(YEAR(INDEX(Input!$G$4:$H$31,MATCH(BE!B33,Input!$G$4:$G$31,0),2)),2),".",IF(LEN(WEEKNUM(INDEX(Input!$G$4:$H$31,MATCH(BE!B33,Input!$G$4:$G$31,0),2)))=1,CONCATENATE("0",WEEKNUM(INDEX(Input!$G$4:$H$31,MATCH(BE!B33,Input!$G$4:$G$31,0),2))),WEEKNUM(INDEX(Input!$G$4:$H$31,MATCH(BE!B33,Input!$G$4:$G$31,0),2)))))))</f>
        <v>25.36</v>
      </c>
      <c r="D33" s="11">
        <f>IF(C33=0,"",ROUNDDOWN(INDEX(Input!$G$4:$I$18,MATCH(BE!B33,Input!$G$4:$G$18,0),3)*$C$2,0))</f>
        <v>38</v>
      </c>
      <c r="F33" s="3" t="str">
        <f t="shared" si="1"/>
        <v>25.16</v>
      </c>
      <c r="G33" s="6">
        <f>IF(WEEKNUM(G32+(7*Input!$D$16))=1,G32+28,G32+(7*Input!$D$16))</f>
        <v>45772</v>
      </c>
      <c r="H33" s="4">
        <f t="shared" si="0"/>
        <v>32</v>
      </c>
      <c r="I33" s="2">
        <f t="shared" si="2"/>
        <v>432</v>
      </c>
      <c r="J33" s="2">
        <f>IF(INDEX(Input!$M$4:$Q$32,MATCH(BE!F33,Input!$M$4:$M$32,0),5)=0,NA(),INDEX(Input!$M$4:$Q$32,MATCH(BE!F33,Input!$M$4:$M$32,0),5))</f>
        <v>42</v>
      </c>
      <c r="K33" s="2" t="e">
        <f>IF(INDEX(Input!$M$4:$P$32,MATCH(F33,Input!$M$4:$M$32,0),4)=0,NA(),INDEX(Input!$M$4:$P$32,MATCH(F33,Input!$M$4:$M$32,0),4))</f>
        <v>#N/A</v>
      </c>
      <c r="L33" s="2">
        <f>IF(INDEX(Input!$M$4:$N$32,MATCH(F33,Input!$M$4:$M$32,0),2)=0,NA(),INDEX(Input!$M$4:$N$32,MATCH(F33,Input!$M$4:$M$32,0),2))</f>
        <v>445</v>
      </c>
      <c r="M33" s="2" t="e">
        <f>IF(ISBLANK(INDEX(Input!$M$4:$O$32,MATCH(BE!F33,Input!$M$4:$M$32,0),3)),NA(),INDEX(Input!$M$4:$O$32,MATCH(BE!F33,Input!$M$4:$M$32,0),3)+M32)</f>
        <v>#N/A</v>
      </c>
      <c r="N33" s="19">
        <f>IF(OR(Input!R16="No",ISBLANK(Input!R16)),NA(),IF(ISERROR(M32),N32,M32)+J33)</f>
        <v>427</v>
      </c>
      <c r="O33" s="13"/>
    </row>
    <row r="34" spans="2:15" x14ac:dyDescent="0.25">
      <c r="B34" s="20" t="s">
        <v>73</v>
      </c>
      <c r="C34" s="18" t="str">
        <f>TRIM(IF(IF(ISODD(RIGHT(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,1)),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-0.01,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)=25,24.52,IF(ISODD(RIGHT(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,1)),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-0.01,CONCATENATE(RIGHT(YEAR(INDEX(Input!$G$4:$H$31,MATCH(BE!B34,Input!$G$4:$G$31,0),2)),2),".",IF(LEN(WEEKNUM(INDEX(Input!$G$4:$H$31,MATCH(BE!B34,Input!$G$4:$G$31,0),2)))=1,CONCATENATE("0",WEEKNUM(INDEX(Input!$G$4:$H$31,MATCH(BE!B34,Input!$G$4:$G$31,0),2))),WEEKNUM(INDEX(Input!$G$4:$H$31,MATCH(BE!B34,Input!$G$4:$G$31,0),2)))))))</f>
        <v>25.40</v>
      </c>
      <c r="D34" s="11">
        <f>IF(C34=0,"",ROUNDDOWN(INDEX(Input!$G$4:$I$18,MATCH(BE!B34,Input!$G$4:$G$18,0),3)*$C$2,0))</f>
        <v>38</v>
      </c>
      <c r="F34" s="3" t="str">
        <f t="shared" si="1"/>
        <v>25.18</v>
      </c>
      <c r="G34" s="6">
        <f>IF(WEEKNUM(G33+(7*Input!$D$16))=1,G33+28,G33+(7*Input!$D$16))</f>
        <v>45786</v>
      </c>
      <c r="H34" s="4">
        <f t="shared" si="0"/>
        <v>32</v>
      </c>
      <c r="I34" s="2">
        <f t="shared" si="2"/>
        <v>464</v>
      </c>
      <c r="J34" s="2" t="e">
        <f>IF(INDEX(Input!$M$4:$Q$32,MATCH(BE!F34,Input!$M$4:$M$32,0),5)=0,NA(),INDEX(Input!$M$4:$Q$32,MATCH(BE!F34,Input!$M$4:$M$32,0),5))</f>
        <v>#N/A</v>
      </c>
      <c r="K34" s="2" t="e">
        <f>IF(INDEX(Input!$M$4:$P$32,MATCH(F34,Input!$M$4:$M$32,0),4)=0,NA(),INDEX(Input!$M$4:$P$32,MATCH(F34,Input!$M$4:$M$32,0),4))</f>
        <v>#N/A</v>
      </c>
      <c r="L34" s="2">
        <f>IF(INDEX(Input!$M$4:$N$32,MATCH(F34,Input!$M$4:$M$32,0),2)=0,NA(),INDEX(Input!$M$4:$N$32,MATCH(F34,Input!$M$4:$M$32,0),2))</f>
        <v>445</v>
      </c>
      <c r="M34" s="2" t="e">
        <f>IF(ISBLANK(INDEX(Input!$M$4:$O$32,MATCH(BE!F34,Input!$M$4:$M$32,0),3)),NA(),INDEX(Input!$M$4:$O$32,MATCH(BE!F34,Input!$M$4:$M$32,0),3)+M33)</f>
        <v>#N/A</v>
      </c>
      <c r="N34" s="19" t="e">
        <f>IF(OR(Input!R17="No",ISBLANK(Input!R17)),NA(),IF(ISERROR(M33),N33,M33)+J34)</f>
        <v>#N/A</v>
      </c>
      <c r="O34" s="13"/>
    </row>
    <row r="35" spans="2:15" x14ac:dyDescent="0.25">
      <c r="B35" s="20" t="s">
        <v>29</v>
      </c>
      <c r="C35" s="18" t="str">
        <f>TRIM(IF(IF(ISODD(RIGHT(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,1)),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-0.01,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)=25,24.52,IF(ISODD(RIGHT(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,1)),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-0.01,CONCATENATE(RIGHT(YEAR(INDEX(Input!$G$4:$H$31,MATCH(BE!B35,Input!$G$4:$G$31,0),2)),2),".",IF(LEN(WEEKNUM(INDEX(Input!$G$4:$H$31,MATCH(BE!B35,Input!$G$4:$G$31,0),2)))=1,CONCATENATE("0",WEEKNUM(INDEX(Input!$G$4:$H$31,MATCH(BE!B35,Input!$G$4:$G$31,0),2))),WEEKNUM(INDEX(Input!$G$4:$H$31,MATCH(BE!B35,Input!$G$4:$G$31,0),2)))))))</f>
        <v>24.52</v>
      </c>
      <c r="D35" s="11">
        <f>IF(C35=0,"",ROUNDDOWN(INDEX(Input!$G$4:$I$18,MATCH(BE!B35,Input!$G$4:$G$18,0),3)*$C$2,0))</f>
        <v>30</v>
      </c>
      <c r="F35" s="3" t="str">
        <f t="shared" si="1"/>
        <v>25.20</v>
      </c>
      <c r="G35" s="6">
        <f>IF(WEEKNUM(G34+(7*Input!$D$16))=1,G34+28,G34+(7*Input!$D$16))</f>
        <v>45800</v>
      </c>
      <c r="H35" s="4">
        <f t="shared" si="0"/>
        <v>32</v>
      </c>
      <c r="I35" s="2">
        <f t="shared" si="2"/>
        <v>496</v>
      </c>
      <c r="J35" s="2" t="e">
        <f>IF(INDEX(Input!$M$4:$Q$32,MATCH(BE!F35,Input!$M$4:$M$32,0),5)=0,NA(),INDEX(Input!$M$4:$Q$32,MATCH(BE!F35,Input!$M$4:$M$32,0),5))</f>
        <v>#N/A</v>
      </c>
      <c r="K35" s="2" t="e">
        <f>IF(INDEX(Input!$M$4:$P$32,MATCH(F35,Input!$M$4:$M$32,0),4)=0,NA(),INDEX(Input!$M$4:$P$32,MATCH(F35,Input!$M$4:$M$32,0),4))</f>
        <v>#N/A</v>
      </c>
      <c r="L35" s="2">
        <f>IF(INDEX(Input!$M$4:$N$32,MATCH(F35,Input!$M$4:$M$32,0),2)=0,NA(),INDEX(Input!$M$4:$N$32,MATCH(F35,Input!$M$4:$M$32,0),2))</f>
        <v>445</v>
      </c>
      <c r="M35" s="2" t="e">
        <f>IF(ISBLANK(INDEX(Input!$M$4:$O$32,MATCH(BE!F35,Input!$M$4:$M$32,0),3)),NA(),INDEX(Input!$M$4:$O$32,MATCH(BE!F35,Input!$M$4:$M$32,0),3)+M34)</f>
        <v>#N/A</v>
      </c>
      <c r="N35" s="19" t="e">
        <f>IF(OR(Input!R18="No",ISBLANK(Input!R18)),NA(),IF(ISERROR(M34),N34,M34)+J35)</f>
        <v>#N/A</v>
      </c>
      <c r="O35" s="13"/>
    </row>
    <row r="36" spans="2:15" x14ac:dyDescent="0.25">
      <c r="B36" s="21" t="s">
        <v>61</v>
      </c>
      <c r="C36" s="18" t="str">
        <f>TRIM(IF(IF(ISODD(RIGHT(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,1)),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-0.01,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)=25,24.52,IF(ISODD(RIGHT(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,1)),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-0.01,CONCATENATE(RIGHT(YEAR(INDEX(Input!$G$4:$H$31,MATCH(BE!B36,Input!$G$4:$G$31,0),2)),2),".",IF(LEN(WEEKNUM(INDEX(Input!$G$4:$H$31,MATCH(BE!B36,Input!$G$4:$G$31,0),2)))=1,CONCATENATE("0",WEEKNUM(INDEX(Input!$G$4:$H$31,MATCH(BE!B36,Input!$G$4:$G$31,0),2))),WEEKNUM(INDEX(Input!$G$4:$H$31,MATCH(BE!B36,Input!$G$4:$G$31,0),2)))))))</f>
        <v>25.10</v>
      </c>
      <c r="D36" s="11">
        <f>IF(C36=0,"",ROUNDDOWN(INDEX(Input!$G$4:$I$31,MATCH(BE!B36,Input!$G$4:$G$31,0),3)*$C$2,0))</f>
        <v>30</v>
      </c>
      <c r="F36" s="3" t="str">
        <f t="shared" ref="F36:F48" si="3">TRIM(IF(LEN(CONCATENATE(RIGHT(YEAR(G36),2),".",WEEKNUM(G36)-1))=5,CONCATENATE(RIGHT(YEAR(G36),2),".",WEEKNUM(G36)-1),CONCATENATE(RIGHT(YEAR(G36),2),".0",WEEKNUM(G36)-1)))</f>
        <v>25.22</v>
      </c>
      <c r="G36" s="6">
        <f>IF(WEEKNUM(G35+(7*Input!$D$16))=1,G35+28,G35+(7*Input!$D$16))</f>
        <v>45814</v>
      </c>
      <c r="H36" s="4">
        <f t="shared" ref="H36:H48" si="4">IFERROR(VLOOKUP(TRIM(F36),$C$21:$D$35,2),$C$2)</f>
        <v>38</v>
      </c>
      <c r="I36" s="2">
        <f t="shared" ref="I36:I48" si="5">H36+I35</f>
        <v>534</v>
      </c>
      <c r="J36" s="2" t="e">
        <f>IF(INDEX(Input!$M$4:$Q$32,MATCH(BE!F36,Input!$M$4:$M$32,0),5)=0,NA(),INDEX(Input!$M$4:$Q$32,MATCH(BE!F36,Input!$M$4:$M$32,0),5))</f>
        <v>#N/A</v>
      </c>
      <c r="K36" s="2" t="e">
        <f>IF(INDEX(Input!$M$4:$P$32,MATCH(F36,Input!$M$4:$M$32,0),4)=0,NA(),INDEX(Input!$M$4:$P$32,MATCH(F36,Input!$M$4:$M$32,0),4))</f>
        <v>#N/A</v>
      </c>
      <c r="L36" s="2">
        <f>IF(INDEX(Input!$M$4:$N$32,MATCH(F36,Input!$M$4:$M$32,0),2)=0,NA(),INDEX(Input!$M$4:$N$32,MATCH(F36,Input!$M$4:$M$32,0),2))</f>
        <v>445</v>
      </c>
      <c r="M36" s="2" t="e">
        <f>IF(ISBLANK(INDEX(Input!$M$4:$O$32,MATCH(BE!F36,Input!$M$4:$M$32,0),3)),NA(),INDEX(Input!$M$4:$O$32,MATCH(BE!F36,Input!$M$4:$M$32,0),3)+M35)</f>
        <v>#N/A</v>
      </c>
      <c r="N36" s="19" t="e">
        <f>IF(OR(Input!R19="No",ISBLANK(Input!R19)),NA(),IF(ISERROR(M35),N35,M35)+J36)</f>
        <v>#N/A</v>
      </c>
      <c r="O36" s="13"/>
    </row>
    <row r="37" spans="2:15" x14ac:dyDescent="0.25">
      <c r="B37" s="21" t="s">
        <v>64</v>
      </c>
      <c r="C37" s="18" t="str">
        <f>TRIM(IF(IF(ISODD(RIGHT(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,1)),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-0.01,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)=25,24.52,IF(ISODD(RIGHT(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,1)),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-0.01,CONCATENATE(RIGHT(YEAR(INDEX(Input!$G$4:$H$31,MATCH(BE!B37,Input!$G$4:$G$31,0),2)),2),".",IF(LEN(WEEKNUM(INDEX(Input!$G$4:$H$31,MATCH(BE!B37,Input!$G$4:$G$31,0),2)))=1,CONCATENATE("0",WEEKNUM(INDEX(Input!$G$4:$H$31,MATCH(BE!B37,Input!$G$4:$G$31,0),2))),WEEKNUM(INDEX(Input!$G$4:$H$31,MATCH(BE!B37,Input!$G$4:$G$31,0),2)))))))</f>
        <v>25.1</v>
      </c>
      <c r="D37" s="11">
        <f>IF(C37=0,"",ROUNDDOWN(INDEX(Input!$G$4:$I$31,MATCH(BE!B37,Input!$G$4:$G$31,0),3)*$C$2,0))</f>
        <v>34</v>
      </c>
      <c r="F37" s="3" t="str">
        <f t="shared" si="3"/>
        <v>25.24</v>
      </c>
      <c r="G37" s="6">
        <f>IF(WEEKNUM(G36+(7*Input!$D$16))=1,G36+28,G36+(7*Input!$D$16))</f>
        <v>45828</v>
      </c>
      <c r="H37" s="4">
        <f t="shared" si="4"/>
        <v>38</v>
      </c>
      <c r="I37" s="2">
        <f t="shared" si="5"/>
        <v>572</v>
      </c>
      <c r="J37" s="2" t="e">
        <f>IF(INDEX(Input!$M$4:$Q$32,MATCH(BE!F37,Input!$M$4:$M$32,0),5)=0,NA(),INDEX(Input!$M$4:$Q$32,MATCH(BE!F37,Input!$M$4:$M$32,0),5))</f>
        <v>#N/A</v>
      </c>
      <c r="K37" s="2" t="e">
        <f>IF(INDEX(Input!$M$4:$P$32,MATCH(F37,Input!$M$4:$M$32,0),4)=0,NA(),INDEX(Input!$M$4:$P$32,MATCH(F37,Input!$M$4:$M$32,0),4))</f>
        <v>#N/A</v>
      </c>
      <c r="L37" s="2">
        <f>IF(INDEX(Input!$M$4:$N$32,MATCH(F37,Input!$M$4:$M$32,0),2)=0,NA(),INDEX(Input!$M$4:$N$32,MATCH(F37,Input!$M$4:$M$32,0),2))</f>
        <v>445</v>
      </c>
      <c r="M37" s="2" t="e">
        <f>IF(ISBLANK(INDEX(Input!$M$4:$O$32,MATCH(BE!F37,Input!$M$4:$M$32,0),3)),NA(),INDEX(Input!$M$4:$O$32,MATCH(BE!F37,Input!$M$4:$M$32,0),3)+M36)</f>
        <v>#N/A</v>
      </c>
      <c r="N37" s="19" t="e">
        <f>IF(OR(Input!R20="No",ISBLANK(Input!R20)),NA(),IF(ISERROR(M36),N36,M36)+J37)</f>
        <v>#N/A</v>
      </c>
    </row>
    <row r="38" spans="2:15" x14ac:dyDescent="0.25">
      <c r="B38" s="21" t="s">
        <v>62</v>
      </c>
      <c r="C38" s="18" t="str">
        <f>TRIM(IF(IF(ISODD(RIGHT(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,1)),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-0.01,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)=25,24.52,IF(ISODD(RIGHT(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,1)),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-0.01,CONCATENATE(RIGHT(YEAR(INDEX(Input!$G$4:$H$31,MATCH(BE!B38,Input!$G$4:$G$31,0),2)),2),".",IF(LEN(WEEKNUM(INDEX(Input!$G$4:$H$31,MATCH(BE!B38,Input!$G$4:$G$31,0),2)))=1,CONCATENATE("0",WEEKNUM(INDEX(Input!$G$4:$H$31,MATCH(BE!B38,Input!$G$4:$G$31,0),2))),WEEKNUM(INDEX(Input!$G$4:$H$31,MATCH(BE!B38,Input!$G$4:$G$31,0),2)))))))</f>
        <v>25.1</v>
      </c>
      <c r="D38" s="11">
        <f>IF(C38=0,"",ROUNDDOWN(INDEX(Input!$G$4:$I$31,MATCH(BE!B38,Input!$G$4:$G$31,0),3)*$C$2,0))</f>
        <v>38</v>
      </c>
      <c r="F38" s="3" t="str">
        <f t="shared" si="3"/>
        <v>25.26</v>
      </c>
      <c r="G38" s="6">
        <f>IF(WEEKNUM(G37+(7*Input!$D$16))=1,G37+28,G37+(7*Input!$D$16))</f>
        <v>45842</v>
      </c>
      <c r="H38" s="4">
        <f t="shared" si="4"/>
        <v>32</v>
      </c>
      <c r="I38" s="2">
        <f t="shared" si="5"/>
        <v>604</v>
      </c>
      <c r="J38" s="2" t="e">
        <f>IF(INDEX(Input!$M$4:$Q$32,MATCH(BE!F38,Input!$M$4:$M$32,0),5)=0,NA(),INDEX(Input!$M$4:$Q$32,MATCH(BE!F38,Input!$M$4:$M$32,0),5))</f>
        <v>#N/A</v>
      </c>
      <c r="K38" s="2" t="e">
        <f>IF(INDEX(Input!$M$4:$P$32,MATCH(F38,Input!$M$4:$M$32,0),4)=0,NA(),INDEX(Input!$M$4:$P$32,MATCH(F38,Input!$M$4:$M$32,0),4))</f>
        <v>#N/A</v>
      </c>
      <c r="L38" s="2">
        <f>IF(INDEX(Input!$M$4:$N$32,MATCH(F38,Input!$M$4:$M$32,0),2)=0,NA(),INDEX(Input!$M$4:$N$32,MATCH(F38,Input!$M$4:$M$32,0),2))</f>
        <v>445</v>
      </c>
      <c r="M38" s="2" t="e">
        <f>IF(ISBLANK(INDEX(Input!$M$4:$O$32,MATCH(BE!F38,Input!$M$4:$M$32,0),3)),NA(),INDEX(Input!$M$4:$O$32,MATCH(BE!F38,Input!$M$4:$M$32,0),3)+M37)</f>
        <v>#N/A</v>
      </c>
      <c r="N38" s="19" t="e">
        <f>IF(OR(Input!R21="No",ISBLANK(Input!R21)),NA(),IF(ISERROR(M37),N37,M37)+J38)</f>
        <v>#N/A</v>
      </c>
    </row>
    <row r="39" spans="2:15" x14ac:dyDescent="0.25">
      <c r="B39" s="21" t="s">
        <v>63</v>
      </c>
      <c r="C39" s="18" t="str">
        <f>TRIM(IF(IF(ISODD(RIGHT(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,1)),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-0.01,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)=25,24.52,IF(ISODD(RIGHT(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,1)),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-0.01,CONCATENATE(RIGHT(YEAR(INDEX(Input!$G$4:$H$31,MATCH(BE!B39,Input!$G$4:$G$31,0),2)),2),".",IF(LEN(WEEKNUM(INDEX(Input!$G$4:$H$31,MATCH(BE!B39,Input!$G$4:$G$31,0),2)))=1,CONCATENATE("0",WEEKNUM(INDEX(Input!$G$4:$H$31,MATCH(BE!B39,Input!$G$4:$G$31,0),2))),WEEKNUM(INDEX(Input!$G$4:$H$31,MATCH(BE!B39,Input!$G$4:$G$31,0),2)))))))</f>
        <v>25.14</v>
      </c>
      <c r="D39" s="11">
        <f>IF(C39=0,"",ROUNDDOWN(INDEX(Input!$G$4:$I$31,MATCH(BE!B39,Input!$G$4:$G$31,0),3)*$C$2,0))</f>
        <v>34</v>
      </c>
      <c r="F39" s="3" t="str">
        <f t="shared" si="3"/>
        <v>25.28</v>
      </c>
      <c r="G39" s="6">
        <f>IF(WEEKNUM(G38+(7*Input!$D$16))=1,G38+28,G38+(7*Input!$D$16))</f>
        <v>45856</v>
      </c>
      <c r="H39" s="4">
        <f t="shared" si="4"/>
        <v>32</v>
      </c>
      <c r="I39" s="2">
        <f t="shared" si="5"/>
        <v>636</v>
      </c>
      <c r="J39" s="2" t="e">
        <f>IF(INDEX(Input!$M$4:$Q$32,MATCH(BE!F39,Input!$M$4:$M$32,0),5)=0,NA(),INDEX(Input!$M$4:$Q$32,MATCH(BE!F39,Input!$M$4:$M$32,0),5))</f>
        <v>#N/A</v>
      </c>
      <c r="K39" s="2" t="e">
        <f>IF(INDEX(Input!$M$4:$P$32,MATCH(F39,Input!$M$4:$M$32,0),4)=0,NA(),INDEX(Input!$M$4:$P$32,MATCH(F39,Input!$M$4:$M$32,0),4))</f>
        <v>#N/A</v>
      </c>
      <c r="L39" s="2">
        <f>IF(INDEX(Input!$M$4:$N$32,MATCH(F39,Input!$M$4:$M$32,0),2)=0,NA(),INDEX(Input!$M$4:$N$32,MATCH(F39,Input!$M$4:$M$32,0),2))</f>
        <v>445</v>
      </c>
      <c r="M39" s="2" t="e">
        <f>IF(ISBLANK(INDEX(Input!$M$4:$O$32,MATCH(BE!F39,Input!$M$4:$M$32,0),3)),NA(),INDEX(Input!$M$4:$O$32,MATCH(BE!F39,Input!$M$4:$M$32,0),3)+M38)</f>
        <v>#N/A</v>
      </c>
      <c r="N39" s="19" t="e">
        <f>IF(OR(Input!R22="No",ISBLANK(Input!R22)),NA(),IF(ISERROR(M38),N38,M38)+J39)</f>
        <v>#N/A</v>
      </c>
    </row>
    <row r="40" spans="2:15" x14ac:dyDescent="0.25">
      <c r="B40" s="21" t="s">
        <v>65</v>
      </c>
      <c r="C40" s="18" t="str">
        <f>TRIM(IF(IF(ISODD(RIGHT(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,1)),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-0.01,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)=25,24.52,IF(ISODD(RIGHT(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,1)),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-0.01,CONCATENATE(RIGHT(YEAR(INDEX(Input!$G$4:$H$31,MATCH(BE!B40,Input!$G$4:$G$31,0),2)),2),".",IF(LEN(WEEKNUM(INDEX(Input!$G$4:$H$31,MATCH(BE!B40,Input!$G$4:$G$31,0),2)))=1,CONCATENATE("0",WEEKNUM(INDEX(Input!$G$4:$H$31,MATCH(BE!B40,Input!$G$4:$G$31,0),2))),WEEKNUM(INDEX(Input!$G$4:$H$31,MATCH(BE!B40,Input!$G$4:$G$31,0),2)))))))</f>
        <v>25.14</v>
      </c>
      <c r="D40" s="11">
        <f>IF(C40=0,"",ROUNDDOWN(INDEX(Input!$G$4:$I$31,MATCH(BE!B40,Input!$G$4:$G$31,0),3)*$C$2,0))</f>
        <v>34</v>
      </c>
      <c r="F40" s="3" t="str">
        <f t="shared" si="3"/>
        <v>25.30</v>
      </c>
      <c r="G40" s="6">
        <f>IF(WEEKNUM(G39+(7*Input!$D$16))=1,G39+28,G39+(7*Input!$D$16))</f>
        <v>45870</v>
      </c>
      <c r="H40" s="4">
        <f t="shared" si="4"/>
        <v>32</v>
      </c>
      <c r="I40" s="2">
        <f t="shared" si="5"/>
        <v>668</v>
      </c>
      <c r="J40" s="2" t="e">
        <f>IF(INDEX(Input!$M$4:$Q$32,MATCH(BE!F40,Input!$M$4:$M$32,0),5)=0,NA(),INDEX(Input!$M$4:$Q$32,MATCH(BE!F40,Input!$M$4:$M$32,0),5))</f>
        <v>#N/A</v>
      </c>
      <c r="K40" s="2" t="e">
        <f>IF(INDEX(Input!$M$4:$P$32,MATCH(F40,Input!$M$4:$M$32,0),4)=0,NA(),INDEX(Input!$M$4:$P$32,MATCH(F40,Input!$M$4:$M$32,0),4))</f>
        <v>#N/A</v>
      </c>
      <c r="L40" s="2">
        <f>IF(INDEX(Input!$M$4:$N$32,MATCH(F40,Input!$M$4:$M$32,0),2)=0,NA(),INDEX(Input!$M$4:$N$32,MATCH(F40,Input!$M$4:$M$32,0),2))</f>
        <v>445</v>
      </c>
      <c r="M40" s="2" t="e">
        <f>IF(ISBLANK(INDEX(Input!$M$4:$O$32,MATCH(BE!F40,Input!$M$4:$M$32,0),3)),NA(),INDEX(Input!$M$4:$O$32,MATCH(BE!F40,Input!$M$4:$M$32,0),3)+M39)</f>
        <v>#N/A</v>
      </c>
      <c r="N40" s="19" t="e">
        <f>IF(OR(Input!R23="No",ISBLANK(Input!R23)),NA(),IF(ISERROR(M39),N39,M39)+J40)</f>
        <v>#N/A</v>
      </c>
    </row>
    <row r="41" spans="2:15" x14ac:dyDescent="0.25">
      <c r="B41" s="21" t="s">
        <v>66</v>
      </c>
      <c r="C41" s="18" t="str">
        <f>TRIM(IF(IF(ISODD(RIGHT(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,1)),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-0.01,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)=25,24.52,IF(ISODD(RIGHT(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,1)),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-0.01,CONCATENATE(RIGHT(YEAR(INDEX(Input!$G$4:$H$31,MATCH(BE!B41,Input!$G$4:$G$31,0),2)),2),".",IF(LEN(WEEKNUM(INDEX(Input!$G$4:$H$31,MATCH(BE!B41,Input!$G$4:$G$31,0),2)))=1,CONCATENATE("0",WEEKNUM(INDEX(Input!$G$4:$H$31,MATCH(BE!B41,Input!$G$4:$G$31,0),2))),WEEKNUM(INDEX(Input!$G$4:$H$31,MATCH(BE!B41,Input!$G$4:$G$31,0),2)))))))</f>
        <v>25.16</v>
      </c>
      <c r="D41" s="11">
        <f>IF(C41=0,"",ROUNDDOWN(INDEX(Input!$G$4:$I$31,MATCH(BE!B41,Input!$G$4:$G$31,0),3)*$C$2,0))</f>
        <v>38</v>
      </c>
      <c r="F41" s="3" t="str">
        <f t="shared" si="3"/>
        <v>25.32</v>
      </c>
      <c r="G41" s="6">
        <f>IF(WEEKNUM(G40+(7*Input!$D$16))=1,G40+28,G40+(7*Input!$D$16))</f>
        <v>45884</v>
      </c>
      <c r="H41" s="4">
        <f t="shared" si="4"/>
        <v>32</v>
      </c>
      <c r="I41" s="2">
        <f t="shared" si="5"/>
        <v>700</v>
      </c>
      <c r="J41" s="2" t="e">
        <f>IF(INDEX(Input!$M$4:$Q$32,MATCH(BE!F41,Input!$M$4:$M$32,0),5)=0,NA(),INDEX(Input!$M$4:$Q$32,MATCH(BE!F41,Input!$M$4:$M$32,0),5))</f>
        <v>#N/A</v>
      </c>
      <c r="K41" s="2" t="e">
        <f>IF(INDEX(Input!$M$4:$P$32,MATCH(F41,Input!$M$4:$M$32,0),4)=0,NA(),INDEX(Input!$M$4:$P$32,MATCH(F41,Input!$M$4:$M$32,0),4))</f>
        <v>#N/A</v>
      </c>
      <c r="L41" s="2">
        <f>IF(INDEX(Input!$M$4:$N$32,MATCH(F41,Input!$M$4:$M$32,0),2)=0,NA(),INDEX(Input!$M$4:$N$32,MATCH(F41,Input!$M$4:$M$32,0),2))</f>
        <v>445</v>
      </c>
      <c r="M41" s="2" t="e">
        <f>IF(ISBLANK(INDEX(Input!$M$4:$O$32,MATCH(BE!F41,Input!$M$4:$M$32,0),3)),NA(),INDEX(Input!$M$4:$O$32,MATCH(BE!F41,Input!$M$4:$M$32,0),3)+M40)</f>
        <v>#N/A</v>
      </c>
      <c r="N41" s="19" t="e">
        <f>IF(OR(Input!R24="No",ISBLANK(Input!R24)),NA(),IF(ISERROR(M40),N40,M40)+J41)</f>
        <v>#N/A</v>
      </c>
    </row>
    <row r="42" spans="2:15" x14ac:dyDescent="0.25">
      <c r="B42" s="21" t="s">
        <v>67</v>
      </c>
      <c r="C42" s="18" t="str">
        <f>TRIM(IF(IF(ISODD(RIGHT(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,1)),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-0.01,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)=25,24.52,IF(ISODD(RIGHT(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,1)),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-0.01,CONCATENATE(RIGHT(YEAR(INDEX(Input!$G$4:$H$31,MATCH(BE!B42,Input!$G$4:$G$31,0),2)),2),".",IF(LEN(WEEKNUM(INDEX(Input!$G$4:$H$31,MATCH(BE!B42,Input!$G$4:$G$31,0),2)))=1,CONCATENATE("0",WEEKNUM(INDEX(Input!$G$4:$H$31,MATCH(BE!B42,Input!$G$4:$G$31,0),2))),WEEKNUM(INDEX(Input!$G$4:$H$31,MATCH(BE!B42,Input!$G$4:$G$31,0),2)))))))</f>
        <v>25.18</v>
      </c>
      <c r="D42" s="11">
        <f>IF(C42=0,"",ROUNDDOWN(INDEX(Input!$G$4:$I$31,MATCH(BE!B42,Input!$G$4:$G$31,0),3)*$C$2,0))</f>
        <v>38</v>
      </c>
      <c r="F42" s="3" t="str">
        <f t="shared" si="3"/>
        <v>25.34</v>
      </c>
      <c r="G42" s="6">
        <f>IF(WEEKNUM(G41+(7*Input!$D$16))=1,G41+28,G41+(7*Input!$D$16))</f>
        <v>45898</v>
      </c>
      <c r="H42" s="4">
        <f t="shared" si="4"/>
        <v>32</v>
      </c>
      <c r="I42" s="2">
        <f t="shared" si="5"/>
        <v>732</v>
      </c>
      <c r="J42" s="2" t="e">
        <f>IF(INDEX(Input!$M$4:$Q$32,MATCH(BE!F42,Input!$M$4:$M$32,0),5)=0,NA(),INDEX(Input!$M$4:$Q$32,MATCH(BE!F42,Input!$M$4:$M$32,0),5))</f>
        <v>#N/A</v>
      </c>
      <c r="K42" s="2" t="e">
        <f>IF(INDEX(Input!$M$4:$P$32,MATCH(F42,Input!$M$4:$M$32,0),4)=0,NA(),INDEX(Input!$M$4:$P$32,MATCH(F42,Input!$M$4:$M$32,0),4))</f>
        <v>#N/A</v>
      </c>
      <c r="L42" s="2">
        <f>IF(INDEX(Input!$M$4:$N$32,MATCH(F42,Input!$M$4:$M$32,0),2)=0,NA(),INDEX(Input!$M$4:$N$32,MATCH(F42,Input!$M$4:$M$32,0),2))</f>
        <v>445</v>
      </c>
      <c r="M42" s="2" t="e">
        <f>IF(ISBLANK(INDEX(Input!$M$4:$O$32,MATCH(BE!F42,Input!$M$4:$M$32,0),3)),NA(),INDEX(Input!$M$4:$O$32,MATCH(BE!F42,Input!$M$4:$M$32,0),3)+M41)</f>
        <v>#N/A</v>
      </c>
      <c r="N42" s="19" t="e">
        <f>IF(OR(Input!R25="No",ISBLANK(Input!R25)),NA(),IF(ISERROR(M41),N41,M41)+J42)</f>
        <v>#N/A</v>
      </c>
    </row>
    <row r="43" spans="2:15" x14ac:dyDescent="0.25">
      <c r="B43" s="21" t="s">
        <v>68</v>
      </c>
      <c r="C43" s="18" t="str">
        <f>TRIM(IF(IF(ISODD(RIGHT(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,1)),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-0.01,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)=25,24.52,IF(ISODD(RIGHT(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,1)),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-0.01,CONCATENATE(RIGHT(YEAR(INDEX(Input!$G$4:$H$31,MATCH(BE!B43,Input!$G$4:$G$31,0),2)),2),".",IF(LEN(WEEKNUM(INDEX(Input!$G$4:$H$31,MATCH(BE!B43,Input!$G$4:$G$31,0),2)))=1,CONCATENATE("0",WEEKNUM(INDEX(Input!$G$4:$H$31,MATCH(BE!B43,Input!$G$4:$G$31,0),2))),WEEKNUM(INDEX(Input!$G$4:$H$31,MATCH(BE!B43,Input!$G$4:$G$31,0),2)))))))</f>
        <v>25.24</v>
      </c>
      <c r="D43" s="11">
        <f>IF(C43=0,"",ROUNDDOWN(INDEX(Input!$G$4:$I$31,MATCH(BE!B43,Input!$G$4:$G$31,0),3)*$C$2,0))</f>
        <v>38</v>
      </c>
      <c r="F43" s="3" t="str">
        <f t="shared" si="3"/>
        <v>25.36</v>
      </c>
      <c r="G43" s="6">
        <f>IF(WEEKNUM(G42+(7*Input!$D$16))=1,G42+28,G42+(7*Input!$D$16))</f>
        <v>45912</v>
      </c>
      <c r="H43" s="4">
        <f t="shared" si="4"/>
        <v>32</v>
      </c>
      <c r="I43" s="2">
        <f t="shared" si="5"/>
        <v>764</v>
      </c>
      <c r="J43" s="2" t="e">
        <f>IF(INDEX(Input!$M$4:$Q$32,MATCH(BE!F43,Input!$M$4:$M$32,0),5)=0,NA(),INDEX(Input!$M$4:$Q$32,MATCH(BE!F43,Input!$M$4:$M$32,0),5))</f>
        <v>#N/A</v>
      </c>
      <c r="K43" s="2" t="e">
        <f>IF(INDEX(Input!$M$4:$P$32,MATCH(F43,Input!$M$4:$M$32,0),4)=0,NA(),INDEX(Input!$M$4:$P$32,MATCH(F43,Input!$M$4:$M$32,0),4))</f>
        <v>#N/A</v>
      </c>
      <c r="L43" s="2">
        <f>IF(INDEX(Input!$M$4:$N$32,MATCH(F43,Input!$M$4:$M$32,0),2)=0,NA(),INDEX(Input!$M$4:$N$32,MATCH(F43,Input!$M$4:$M$32,0),2))</f>
        <v>445</v>
      </c>
      <c r="M43" s="2" t="e">
        <f>IF(ISBLANK(INDEX(Input!$M$4:$O$32,MATCH(BE!F43,Input!$M$4:$M$32,0),3)),NA(),INDEX(Input!$M$4:$O$32,MATCH(BE!F43,Input!$M$4:$M$32,0),3)+M42)</f>
        <v>#N/A</v>
      </c>
      <c r="N43" s="19" t="e">
        <f>IF(OR(Input!R26="No",ISBLANK(Input!R26)),NA(),IF(ISERROR(M42),N42,M42)+J43)</f>
        <v>#N/A</v>
      </c>
    </row>
    <row r="44" spans="2:15" x14ac:dyDescent="0.25">
      <c r="B44" s="21" t="s">
        <v>69</v>
      </c>
      <c r="C44" s="18" t="str">
        <f>TRIM(IF(IF(ISODD(RIGHT(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,1)),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-0.01,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)=25,24.52,IF(ISODD(RIGHT(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,1)),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-0.01,CONCATENATE(RIGHT(YEAR(INDEX(Input!$G$4:$H$31,MATCH(BE!B44,Input!$G$4:$G$31,0),2)),2),".",IF(LEN(WEEKNUM(INDEX(Input!$G$4:$H$31,MATCH(BE!B44,Input!$G$4:$G$31,0),2)))=1,CONCATENATE("0",WEEKNUM(INDEX(Input!$G$4:$H$31,MATCH(BE!B44,Input!$G$4:$G$31,0),2))),WEEKNUM(INDEX(Input!$G$4:$H$31,MATCH(BE!B44,Input!$G$4:$G$31,0),2)))))))</f>
        <v>25.24</v>
      </c>
      <c r="D44" s="11">
        <f>IF(C44=0,"",ROUNDDOWN(INDEX(Input!$G$4:$I$31,MATCH(BE!B44,Input!$G$4:$G$31,0),3)*$C$2,0))</f>
        <v>34</v>
      </c>
      <c r="F44" s="3" t="str">
        <f t="shared" si="3"/>
        <v>25.38</v>
      </c>
      <c r="G44" s="6">
        <f>IF(WEEKNUM(G43+(7*Input!$D$16))=1,G43+28,G43+(7*Input!$D$16))</f>
        <v>45926</v>
      </c>
      <c r="H44" s="4">
        <f t="shared" si="4"/>
        <v>38</v>
      </c>
      <c r="I44" s="2">
        <f t="shared" si="5"/>
        <v>802</v>
      </c>
      <c r="J44" s="2" t="e">
        <f>IF(INDEX(Input!$M$4:$Q$32,MATCH(BE!F44,Input!$M$4:$M$32,0),5)=0,NA(),INDEX(Input!$M$4:$Q$32,MATCH(BE!F44,Input!$M$4:$M$32,0),5))</f>
        <v>#N/A</v>
      </c>
      <c r="K44" s="2" t="e">
        <f>IF(INDEX(Input!$M$4:$P$32,MATCH(F44,Input!$M$4:$M$32,0),4)=0,NA(),INDEX(Input!$M$4:$P$32,MATCH(F44,Input!$M$4:$M$32,0),4))</f>
        <v>#N/A</v>
      </c>
      <c r="L44" s="2">
        <f>IF(INDEX(Input!$M$4:$N$32,MATCH(F44,Input!$M$4:$M$32,0),2)=0,NA(),INDEX(Input!$M$4:$N$32,MATCH(F44,Input!$M$4:$M$32,0),2))</f>
        <v>445</v>
      </c>
      <c r="M44" s="2" t="e">
        <f>IF(ISBLANK(INDEX(Input!$M$4:$O$32,MATCH(BE!F44,Input!$M$4:$M$32,0),3)),NA(),INDEX(Input!$M$4:$O$32,MATCH(BE!F44,Input!$M$4:$M$32,0),3)+M43)</f>
        <v>#N/A</v>
      </c>
      <c r="N44" s="19" t="e">
        <f>IF(OR(Input!R27="No",ISBLANK(Input!R27)),NA(),IF(ISERROR(M43),N43,M43)+J44)</f>
        <v>#N/A</v>
      </c>
    </row>
    <row r="45" spans="2:15" x14ac:dyDescent="0.25">
      <c r="B45" s="21" t="s">
        <v>70</v>
      </c>
      <c r="C45" s="18" t="str">
        <f>TRIM(IF(IF(ISODD(RIGHT(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,1)),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-0.01,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)=25,24.52,IF(ISODD(RIGHT(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,1)),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-0.01,CONCATENATE(RIGHT(YEAR(INDEX(Input!$G$4:$H$31,MATCH(BE!B45,Input!$G$4:$G$31,0),2)),2),".",IF(LEN(WEEKNUM(INDEX(Input!$G$4:$H$31,MATCH(BE!B45,Input!$G$4:$G$31,0),2)))=1,CONCATENATE("0",WEEKNUM(INDEX(Input!$G$4:$H$31,MATCH(BE!B45,Input!$G$4:$G$31,0),2))),WEEKNUM(INDEX(Input!$G$4:$H$31,MATCH(BE!B45,Input!$G$4:$G$31,0),2)))))))</f>
        <v>25.28</v>
      </c>
      <c r="D45" s="11">
        <f>IF(C45=0,"",ROUNDDOWN(INDEX(Input!$G$4:$I$31,MATCH(BE!B45,Input!$G$4:$G$31,0),3)*$C$2,0))</f>
        <v>34</v>
      </c>
      <c r="F45" s="3" t="str">
        <f t="shared" si="3"/>
        <v>25.40</v>
      </c>
      <c r="G45" s="6">
        <f>IF(WEEKNUM(G44+(7*Input!$D$16))=1,G44+28,G44+(7*Input!$D$16))</f>
        <v>45940</v>
      </c>
      <c r="H45" s="4">
        <f t="shared" si="4"/>
        <v>38</v>
      </c>
      <c r="I45" s="2">
        <f t="shared" si="5"/>
        <v>840</v>
      </c>
      <c r="J45" s="2" t="e">
        <f>IF(INDEX(Input!$M$4:$Q$32,MATCH(BE!F45,Input!$M$4:$M$32,0),5)=0,NA(),INDEX(Input!$M$4:$Q$32,MATCH(BE!F45,Input!$M$4:$M$32,0),5))</f>
        <v>#N/A</v>
      </c>
      <c r="K45" s="2" t="e">
        <f>IF(INDEX(Input!$M$4:$P$32,MATCH(F45,Input!$M$4:$M$32,0),4)=0,NA(),INDEX(Input!$M$4:$P$32,MATCH(F45,Input!$M$4:$M$32,0),4))</f>
        <v>#N/A</v>
      </c>
      <c r="L45" s="2">
        <f>IF(INDEX(Input!$M$4:$N$32,MATCH(F45,Input!$M$4:$M$32,0),2)=0,NA(),INDEX(Input!$M$4:$N$32,MATCH(F45,Input!$M$4:$M$32,0),2))</f>
        <v>445</v>
      </c>
      <c r="M45" s="2" t="e">
        <f>IF(ISBLANK(INDEX(Input!$M$4:$O$32,MATCH(BE!F45,Input!$M$4:$M$32,0),3)),NA(),INDEX(Input!$M$4:$O$32,MATCH(BE!F45,Input!$M$4:$M$32,0),3)+M44)</f>
        <v>#N/A</v>
      </c>
      <c r="N45" s="19" t="e">
        <f>IF(OR(Input!R28="No",ISBLANK(Input!R28)),NA(),IF(ISERROR(M44),N44,M44)+J45)</f>
        <v>#N/A</v>
      </c>
    </row>
    <row r="46" spans="2:15" x14ac:dyDescent="0.25">
      <c r="B46" s="21" t="s">
        <v>71</v>
      </c>
      <c r="C46" s="18" t="str">
        <f>TRIM(IF(IF(ISODD(RIGHT(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,1)),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-0.01,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)=25,24.52,IF(ISODD(RIGHT(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,1)),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-0.01,CONCATENATE(RIGHT(YEAR(INDEX(Input!$G$4:$H$31,MATCH(BE!B46,Input!$G$4:$G$31,0),2)),2),".",IF(LEN(WEEKNUM(INDEX(Input!$G$4:$H$31,MATCH(BE!B46,Input!$G$4:$G$31,0),2)))=1,CONCATENATE("0",WEEKNUM(INDEX(Input!$G$4:$H$31,MATCH(BE!B46,Input!$G$4:$G$31,0),2))),WEEKNUM(INDEX(Input!$G$4:$H$31,MATCH(BE!B46,Input!$G$4:$G$31,0),2)))))))</f>
        <v>25.34</v>
      </c>
      <c r="D46" s="11">
        <f>IF(C46=0,"",ROUNDDOWN(INDEX(Input!$G$4:$I$31,MATCH(BE!B46,Input!$G$4:$G$31,0),3)*$C$2,0))</f>
        <v>30</v>
      </c>
      <c r="F46" s="3" t="str">
        <f t="shared" si="3"/>
        <v>25.42</v>
      </c>
      <c r="G46" s="6">
        <f>IF(WEEKNUM(G45+(7*Input!$D$16))=1,G45+28,G45+(7*Input!$D$16))</f>
        <v>45954</v>
      </c>
      <c r="H46" s="4">
        <f t="shared" si="4"/>
        <v>30</v>
      </c>
      <c r="I46" s="2">
        <f t="shared" si="5"/>
        <v>870</v>
      </c>
      <c r="J46" s="2" t="e">
        <f>IF(INDEX(Input!$M$4:$Q$32,MATCH(BE!F46,Input!$M$4:$M$32,0),5)=0,NA(),INDEX(Input!$M$4:$Q$32,MATCH(BE!F46,Input!$M$4:$M$32,0),5))</f>
        <v>#N/A</v>
      </c>
      <c r="K46" s="2" t="e">
        <f>IF(INDEX(Input!$M$4:$P$32,MATCH(F46,Input!$M$4:$M$32,0),4)=0,NA(),INDEX(Input!$M$4:$P$32,MATCH(F46,Input!$M$4:$M$32,0),4))</f>
        <v>#N/A</v>
      </c>
      <c r="L46" s="2">
        <f>IF(INDEX(Input!$M$4:$N$32,MATCH(F46,Input!$M$4:$M$32,0),2)=0,NA(),INDEX(Input!$M$4:$N$32,MATCH(F46,Input!$M$4:$M$32,0),2))</f>
        <v>445</v>
      </c>
      <c r="M46" s="2" t="e">
        <f>IF(ISBLANK(INDEX(Input!$M$4:$O$32,MATCH(BE!F46,Input!$M$4:$M$32,0),3)),NA(),INDEX(Input!$M$4:$O$32,MATCH(BE!F46,Input!$M$4:$M$32,0),3)+M45)</f>
        <v>#N/A</v>
      </c>
      <c r="N46" s="19" t="e">
        <f>IF(OR(Input!R29="No",ISBLANK(Input!R29)),NA(),IF(ISERROR(M45),N45,M45)+J46)</f>
        <v>#N/A</v>
      </c>
    </row>
    <row r="47" spans="2:15" x14ac:dyDescent="0.25">
      <c r="B47" s="21" t="s">
        <v>72</v>
      </c>
      <c r="C47" s="18" t="str">
        <f>TRIM(IF(IF(ISODD(RIGHT(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,1)),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-0.01,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)=25,24.52,IF(ISODD(RIGHT(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,1)),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-0.01,CONCATENATE(RIGHT(YEAR(INDEX(Input!$G$4:$H$31,MATCH(BE!B47,Input!$G$4:$G$31,0),2)),2),".",IF(LEN(WEEKNUM(INDEX(Input!$G$4:$H$31,MATCH(BE!B47,Input!$G$4:$G$31,0),2)))=1,CONCATENATE("0",WEEKNUM(INDEX(Input!$G$4:$H$31,MATCH(BE!B47,Input!$G$4:$G$31,0),2))),WEEKNUM(INDEX(Input!$G$4:$H$31,MATCH(BE!B47,Input!$G$4:$G$31,0),2)))))))</f>
        <v>25.38</v>
      </c>
      <c r="D47" s="11">
        <f>IF(C47=0,"",ROUNDDOWN(INDEX(Input!$G$4:$I$31,MATCH(BE!B47,Input!$G$4:$G$31,0),3)*$C$2,0))</f>
        <v>34</v>
      </c>
      <c r="F47" s="3" t="str">
        <f t="shared" si="3"/>
        <v>25.44</v>
      </c>
      <c r="G47" s="6">
        <f>IF(WEEKNUM(G46+(7*Input!$D$16))=1,G46+28,G46+(7*Input!$D$16))</f>
        <v>45968</v>
      </c>
      <c r="H47" s="4">
        <f t="shared" si="4"/>
        <v>30</v>
      </c>
      <c r="I47" s="2">
        <f t="shared" si="5"/>
        <v>900</v>
      </c>
      <c r="J47" s="2" t="e">
        <f>IF(INDEX(Input!$M$4:$Q$32,MATCH(BE!F47,Input!$M$4:$M$32,0),5)=0,NA(),INDEX(Input!$M$4:$Q$32,MATCH(BE!F47,Input!$M$4:$M$32,0),5))</f>
        <v>#N/A</v>
      </c>
      <c r="K47" s="2" t="e">
        <f>IF(INDEX(Input!$M$4:$P$32,MATCH(F47,Input!$M$4:$M$32,0),4)=0,NA(),INDEX(Input!$M$4:$P$32,MATCH(F47,Input!$M$4:$M$32,0),4))</f>
        <v>#N/A</v>
      </c>
      <c r="L47" s="2">
        <f>IF(INDEX(Input!$M$4:$N$32,MATCH(F47,Input!$M$4:$M$32,0),2)=0,NA(),INDEX(Input!$M$4:$N$32,MATCH(F47,Input!$M$4:$M$32,0),2))</f>
        <v>445</v>
      </c>
      <c r="M47" s="2" t="e">
        <f>IF(ISBLANK(INDEX(Input!$M$4:$O$32,MATCH(BE!F47,Input!$M$4:$M$32,0),3)),NA(),INDEX(Input!$M$4:$O$32,MATCH(BE!F47,Input!$M$4:$M$32,0),3)+M46)</f>
        <v>#N/A</v>
      </c>
      <c r="N47" s="19" t="e">
        <f>IF(OR(Input!R30="No",ISBLANK(Input!R30)),NA(),IF(ISERROR(M46),N46,M46)+J47)</f>
        <v>#N/A</v>
      </c>
    </row>
    <row r="48" spans="2:15" x14ac:dyDescent="0.25">
      <c r="B48" s="21" t="s">
        <v>74</v>
      </c>
      <c r="C48" s="18" t="str">
        <f>TRIM(IF(IF(ISODD(RIGHT(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,1)),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-0.01,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)=25,24.52,IF(ISODD(RIGHT(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,1)),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-0.01,CONCATENATE(RIGHT(YEAR(INDEX(Input!$G$4:$H$31,MATCH(BE!B48,Input!$G$4:$G$31,0),2)),2),".",IF(LEN(WEEKNUM(INDEX(Input!$G$4:$H$31,MATCH(BE!B48,Input!$G$4:$G$31,0),2)))=1,CONCATENATE("0",WEEKNUM(INDEX(Input!$G$4:$H$31,MATCH(BE!B48,Input!$G$4:$G$31,0),2))),WEEKNUM(INDEX(Input!$G$4:$H$31,MATCH(BE!B48,Input!$G$4:$G$31,0),2)))))))</f>
        <v>25.46</v>
      </c>
      <c r="D48" s="11">
        <f>IF(C48=0,"",ROUNDDOWN(INDEX(Input!$G$4:$I$31,MATCH(BE!B48,Input!$G$4:$G$31,0),3)*$C$2,0))</f>
        <v>38</v>
      </c>
      <c r="F48" s="3" t="str">
        <f t="shared" si="3"/>
        <v>25.46</v>
      </c>
      <c r="G48" s="6">
        <f>IF(WEEKNUM(G47+(7*Input!$D$16))=1,G47+28,G47+(7*Input!$D$16))</f>
        <v>45982</v>
      </c>
      <c r="H48" s="4">
        <f t="shared" si="4"/>
        <v>30</v>
      </c>
      <c r="I48" s="2">
        <f t="shared" si="5"/>
        <v>930</v>
      </c>
      <c r="J48" s="2" t="e">
        <f>IF(INDEX(Input!$M$4:$Q$32,MATCH(BE!F48,Input!$M$4:$M$32,0),5)=0,NA(),INDEX(Input!$M$4:$Q$32,MATCH(BE!F48,Input!$M$4:$M$32,0),5))</f>
        <v>#N/A</v>
      </c>
      <c r="K48" s="2" t="e">
        <f>IF(INDEX(Input!$M$4:$P$32,MATCH(F48,Input!$M$4:$M$32,0),4)=0,NA(),INDEX(Input!$M$4:$P$32,MATCH(F48,Input!$M$4:$M$32,0),4))</f>
        <v>#N/A</v>
      </c>
      <c r="L48" s="2" t="e">
        <f>IF(INDEX(Input!$M$4:$N$32,MATCH(F48,Input!$M$4:$M$32,0),2)=0,NA(),INDEX(Input!$M$4:$N$32,MATCH(F48,Input!$M$4:$M$32,0),2))</f>
        <v>#N/A</v>
      </c>
      <c r="M48" s="2" t="e">
        <f>IF(ISBLANK(INDEX(Input!$M$4:$O$32,MATCH(BE!F48,Input!$M$4:$M$32,0),3)),NA(),INDEX(Input!$M$4:$O$32,MATCH(BE!F48,Input!$M$4:$M$32,0),3)+M47)</f>
        <v>#N/A</v>
      </c>
      <c r="N48" s="19" t="e">
        <f>IF(OR(Input!R31="No",ISBLANK(Input!R31)),NA(),IF(ISERROR(M47),N47,M47)+J48)</f>
        <v>#N/A</v>
      </c>
    </row>
    <row r="49" spans="2:4" x14ac:dyDescent="0.25">
      <c r="B49" s="9"/>
      <c r="C49" s="9"/>
      <c r="D49" s="10"/>
    </row>
    <row r="50" spans="2:4" x14ac:dyDescent="0.25">
      <c r="B50" s="9"/>
      <c r="C50" s="9"/>
      <c r="D50" s="10"/>
    </row>
  </sheetData>
  <sheetProtection algorithmName="SHA-512" hashValue="01VTPhZUnoNipNaShvYJ6EXi9d6K2vsBLc1Sx+G0b+apF00Qr6Ce/wV0g/kM4045soavYg6nOQMXecajvFhyTg==" saltValue="gKT6rEjILQDI2XB+FATGlw==" spinCount="100000" sheet="1" objects="1" scenarios="1" selectLockedCells="1" selectUnlockedCells="1"/>
  <mergeCells count="1">
    <mergeCell ref="B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Rodighiero</dc:creator>
  <cp:lastModifiedBy>Michael Rodighiero</cp:lastModifiedBy>
  <dcterms:created xsi:type="dcterms:W3CDTF">2024-10-11T20:09:00Z</dcterms:created>
  <dcterms:modified xsi:type="dcterms:W3CDTF">2025-04-09T00:23:17Z</dcterms:modified>
</cp:coreProperties>
</file>